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svg" ContentType="image/sv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931"/>
  <workbookPr codeName="ThisWorkbook"/>
  <workbookProtection workbookAlgorithmName="SHA-512" workbookHashValue="pWKJs0JOwPUukxZ9MWiB7fl6DU4Xhzmd6qwxYqljf23NrfERG//dtp0mg990dGw5CS5iASZsTtzwXlVx6wRcNA==" workbookSpinCount="100000" workbookSaltValue="pOg7bDg0nYIysvuMorpYag==" lockStructure="1"/>
  <bookViews>
    <workbookView xWindow="65426" yWindow="65426" windowWidth="25180" windowHeight="16260" tabRatio="776" activeTab="5"/>
  </bookViews>
  <sheets>
    <sheet name="1. Info" sheetId="1" r:id="rId1"/>
    <sheet name="2. VM" sheetId="2" r:id="rId2"/>
    <sheet name="3. Performance Cloud" sheetId="3" state="hidden" r:id="rId3"/>
    <sheet name="3. Performance Cloud VMware" sheetId="8" r:id="rId4"/>
    <sheet name="3. Veeam Cloud Connect" sheetId="11" r:id="rId5"/>
    <sheet name="4. Autres produits" sheetId="12" r:id="rId6"/>
    <sheet name="Price List EN" sheetId="4" state="hidden" r:id="rId7"/>
    <sheet name="Liste de Prix FR" sheetId="5" state="hidden" r:id="rId8"/>
    <sheet name="Price List EN VMware" sheetId="9" state="hidden" r:id="rId9"/>
    <sheet name="Liste de Prix FR VMware" sheetId="10" state="hidden" r:id="rId10"/>
    <sheet name="Variables" sheetId="6" state="hidden" r:id="rId11"/>
  </sheets>
  <definedNames>
    <definedName name="Direct">'Variables'!$G$6:$G$8</definedName>
    <definedName name="English">'Variables'!$A$5:$A$6</definedName>
    <definedName name="Français">'Variables'!$B$5:$B$6</definedName>
    <definedName name="Partenaire">'Variables'!$H$5:$H$8</definedName>
    <definedName name="Partner">'Variables'!$F$5:$F$8</definedName>
    <definedName name="Vente_Directe">'Variables'!$I$6:$I$8</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Jean-Philippe Poulin</author>
  </authors>
  <commentList>
    <comment ref="F4" authorId="0">
      <text>
        <r>
          <rPr>
            <b/>
            <sz val="9"/>
            <rFont val="Tahoma"/>
            <family val="2"/>
          </rPr>
          <t>Storage for swap (page) file. 
Performance Cloud VMware only.
Stockage pour le fichier swap (pagination). Performance Cloud VMware seulement.</t>
        </r>
      </text>
    </comment>
    <comment ref="I4" authorId="0">
      <text>
        <r>
          <rPr>
            <b/>
            <sz val="9"/>
            <rFont val="Tahoma"/>
            <family val="2"/>
          </rPr>
          <t>Performance Cloud only.</t>
        </r>
        <r>
          <rPr>
            <sz val="9"/>
            <rFont val="Tahoma"/>
            <family val="2"/>
          </rPr>
          <t xml:space="preserve">
</t>
        </r>
        <r>
          <rPr>
            <b/>
            <sz val="9"/>
            <rFont val="Tahoma"/>
            <family val="2"/>
          </rPr>
          <t>Performance Cloud seulement.</t>
        </r>
      </text>
    </comment>
    <comment ref="J4" authorId="0">
      <text>
        <r>
          <rPr>
            <b/>
            <sz val="9"/>
            <rFont val="Tahoma"/>
            <family val="2"/>
          </rPr>
          <t>Performance Cloud only.
Performance Cloud seulement.</t>
        </r>
      </text>
    </comment>
    <comment ref="K4" authorId="0">
      <text>
        <r>
          <rPr>
            <b/>
            <sz val="9"/>
            <rFont val="Tahoma"/>
            <family val="2"/>
          </rPr>
          <t>Performance Cloud VMware only.
Performance Cloud Vware seulement.</t>
        </r>
        <r>
          <rPr>
            <sz val="9"/>
            <rFont val="Tahoma"/>
            <family val="2"/>
          </rPr>
          <t xml:space="preserve">
</t>
        </r>
      </text>
    </comment>
  </commentList>
</comments>
</file>

<file path=xl/sharedStrings.xml><?xml version="1.0" encoding="utf-8"?>
<sst xmlns="http://schemas.openxmlformats.org/spreadsheetml/2006/main" count="1569" uniqueCount="501">
  <si>
    <r>
      <rPr>
        <b/>
        <sz val="11"/>
        <color rgb="FFFF0000"/>
        <rFont val="Calibri"/>
        <family val="2"/>
        <scheme val="minor"/>
      </rPr>
      <t>Please note:</t>
    </r>
    <r>
      <rPr>
        <sz val="11"/>
        <color rgb="FFFF0000"/>
        <rFont val="Calibri"/>
        <family val="2"/>
        <scheme val="minor"/>
      </rPr>
      <t xml:space="preserve"> This cost estimator is primarily intended to be used from a web browser.
</t>
    </r>
    <r>
      <rPr>
        <u val="single"/>
        <sz val="11"/>
        <color rgb="FFFF0000"/>
        <rFont val="Calibri (Body)"/>
        <family val="2"/>
      </rPr>
      <t>Click here</t>
    </r>
    <r>
      <rPr>
        <sz val="11"/>
        <color rgb="FFFF0000"/>
        <rFont val="Calibri"/>
        <family val="2"/>
        <scheme val="minor"/>
      </rPr>
      <t xml:space="preserve"> to make sure you have the latest version of this document.</t>
    </r>
  </si>
  <si>
    <t>Variables</t>
  </si>
  <si>
    <t>Language/Langue:</t>
  </si>
  <si>
    <t>Français</t>
  </si>
  <si>
    <t>CAD</t>
  </si>
  <si>
    <t>Montreal (CAN)</t>
  </si>
  <si>
    <t>Vente_Directe</t>
  </si>
  <si>
    <t>N/A</t>
  </si>
  <si>
    <t>2.2.0.7 ITQ</t>
  </si>
  <si>
    <t>None</t>
  </si>
  <si>
    <t>La solution Performance Cloud propulsée par VMware est une plateforme d’infrastructure en tant que service accélérant et facilitant la mise sur pied de votre environnement cloud et l’extensibilité de vos applications. Conçue pour soutenir différentes charges de travail, la reprise d’activité ainsi que les besoins en matière de conformité, elle vous permet de pleinement contrôler les coûts de vos serveurs cloud et de stimuler l’innovation avec un rapport prix-performance incomparable.</t>
  </si>
  <si>
    <t>Description de la Solution</t>
  </si>
  <si>
    <t>Veeam Cloud Connect permet de sauvegarder des infrastructures et de répliquer des environnements facilement et rapidement, ce qui en fait la plus rentable des solutions pour un site de secours à chaud, tiède ou à froid. Obtenez la meilleure option pour la continuité d’activité et l’efficacité opérationnelle avec un minimum d’interruption.</t>
  </si>
  <si>
    <t>Nom du produit</t>
  </si>
  <si>
    <t>Description</t>
  </si>
  <si>
    <t>Unité de mesure</t>
  </si>
  <si>
    <t>Fréquence de paiement</t>
  </si>
  <si>
    <t>Coût mensuel CAD</t>
  </si>
  <si>
    <t>QTÉ</t>
  </si>
  <si>
    <t>Coût mensuel total</t>
  </si>
  <si>
    <t>Veeam Cloud Connect</t>
  </si>
  <si>
    <t>Veeam Cloud Connect Backup</t>
  </si>
  <si>
    <t>VCC Backup - Instance</t>
  </si>
  <si>
    <t>Veeam Cloud Connect Backup - Machine physique ou virtuelle</t>
  </si>
  <si>
    <t>Instance</t>
  </si>
  <si>
    <t>Mensuel</t>
  </si>
  <si>
    <t>VCC Backup - Stockage</t>
  </si>
  <si>
    <t>Veeam Cloud Connect Backup - Stockage (Go)</t>
  </si>
  <si>
    <t>Gigaoctet (Go)</t>
  </si>
  <si>
    <t>TOTAL MENSUEL</t>
  </si>
  <si>
    <t>Mode</t>
  </si>
  <si>
    <t>Devise</t>
  </si>
  <si>
    <t>Prix de liste</t>
  </si>
  <si>
    <t>NB Mois</t>
  </si>
  <si>
    <t>Total</t>
  </si>
  <si>
    <t>Services essentiels</t>
  </si>
  <si>
    <t>Services de stockage</t>
  </si>
  <si>
    <t>Stockage NAS Isilon</t>
  </si>
  <si>
    <t>Stockage Tier-3 NAS-Isilon-Compliance Mode - 36 mois</t>
  </si>
  <si>
    <t>Go</t>
  </si>
  <si>
    <t>Stockage Tier-3 NAS-Isilon-Compliance Mode - 24 mois</t>
  </si>
  <si>
    <t>Stockage Tier-3 NAS-Isilon-Compliance Mode - 12 mois</t>
  </si>
  <si>
    <t>Stockage Tier-3 NAS-Isilon-Compliance Mode - PayGo</t>
  </si>
  <si>
    <t>Stockage Tier-4 NAS-Isilon-Archive - 36 mois</t>
  </si>
  <si>
    <t>Stockage Tier-4 NAS-Isilon-Archive - 24 mois</t>
  </si>
  <si>
    <t>Stockage Tier-4 NAS-Isilon-Archive - 12 mois</t>
  </si>
  <si>
    <t>Stockage Tier-4 NAS-Isilon-Archive - PayGo</t>
  </si>
  <si>
    <t xml:space="preserve">Bureau virtuel </t>
  </si>
  <si>
    <t>Coût annuel total</t>
  </si>
  <si>
    <t>Nb Année</t>
  </si>
  <si>
    <t>***Les services de bureaux virtuels ITI inclus une consommation  infonuagique (matériel et logiciel) ainsi que l’exploitation des infrastructures matérielles et logicielles nécessaires pour héberger et présenter les bureaux virtuels, incluant l’application des correctifs. Plusieurs options sont offertes selon votre cible infonuagique (Azure, Performance Cloud ou IBM Cloud). Veuillez communiquer avec ITI afin de bien dimensionner le service. ITI , n’est pas autorisé à revendre seulement la portion logicielle (licence) de cette solution.</t>
  </si>
  <si>
    <t>Service de bureaux virtuels ITI</t>
  </si>
  <si>
    <t>ADC VPX 1000 Mbps Standard Edition - 12 mois</t>
  </si>
  <si>
    <t>Unit</t>
  </si>
  <si>
    <t>ADC VPX 1000 Mbps Standard Edition - 24 mois</t>
  </si>
  <si>
    <t>ADC VPX 1000 Mbps Standard Edition - 36 mois</t>
  </si>
  <si>
    <t>DaaS Standard pour Azure - Concurrente</t>
  </si>
  <si>
    <t>User</t>
  </si>
  <si>
    <t>Annuel</t>
  </si>
  <si>
    <t>USD</t>
  </si>
  <si>
    <t>DaaS Standard pour Azure - par utilisateurs</t>
  </si>
  <si>
    <t>Virtual Apps and Desktops Service - CCU - Advanced - 12 mois</t>
  </si>
  <si>
    <t>Virtual Apps and Desktops Service - CCU - Advanced - 24 mois</t>
  </si>
  <si>
    <t>Virtual Apps and Desktops Service - CCU - Advanced - 36 mois</t>
  </si>
  <si>
    <t>Virtual Apps and Desktops Service - CCU - Advanced Plus - 12 mois</t>
  </si>
  <si>
    <t>Virtual Apps and Desktops Service - CCU - Advanced Plus - 24 mois</t>
  </si>
  <si>
    <t>Virtual Apps and Desktops Service - CCU - Advanced Plus - 36 mois</t>
  </si>
  <si>
    <t>Virtual Apps and Desktops Service - User / Device - Advanced - 12 mois</t>
  </si>
  <si>
    <t>Virtual Apps and Desktops Service - User / Device - Advanced - 24 mois</t>
  </si>
  <si>
    <t>Virtual Apps and Desktops Service - User / Device - Advanced - 36 mois</t>
  </si>
  <si>
    <t>Virtual Apps and Desktops Service - User / Device - Advanced Plus - 12 mois</t>
  </si>
  <si>
    <t>Virtual Apps and Desktops Service - User / Device - Advanced Plus - 24 mois</t>
  </si>
  <si>
    <t>Virtual Apps and Desktops Service - User / Device - Advanced Plus- 36 mois</t>
  </si>
  <si>
    <t>Virtual Apps and Desktops Service - User / Device - Premium - 12 mois</t>
  </si>
  <si>
    <t>Virtual Apps and Desktops Service - User / Device - Premium - 24 mois</t>
  </si>
  <si>
    <t>Virtual Apps and Desktops Service - User / Device - Premium - 36 mois</t>
  </si>
  <si>
    <t>Virtual Apps and Desktops Service - User / Device - Premium Plus - 12 mois</t>
  </si>
  <si>
    <t>Virtual Apps and Desktops Service - User / Device - Premium Plus- 24 mois</t>
  </si>
  <si>
    <t>Virtual Apps and Desktops Service - User / Device - Premium Plus- 36 mois</t>
  </si>
  <si>
    <t>Solutions de transfert</t>
  </si>
  <si>
    <t>Service de sauvegarde et de récupération des données ITI</t>
  </si>
  <si>
    <t>Performance -  Compliance - 36 mois</t>
  </si>
  <si>
    <t xml:space="preserve">Mensuel  </t>
  </si>
  <si>
    <t>Service de stockage de données d'archives ITI</t>
  </si>
  <si>
    <t>Archive - Compliance - 12 mois</t>
  </si>
  <si>
    <t>Archive - Compliance - 24 mois</t>
  </si>
  <si>
    <t>Archive - Compliance - 36 mois</t>
  </si>
  <si>
    <t>Archive - Compliance - PayGo</t>
  </si>
  <si>
    <t>Premium - Compliance - 12 mois</t>
  </si>
  <si>
    <t>Premium - Compliance - 24 mois</t>
  </si>
  <si>
    <t>Premium - Compliance - 36 mois</t>
  </si>
  <si>
    <t>Premium - Compliance - PayGo</t>
  </si>
  <si>
    <t>Service de stockage de fichiers ITI</t>
  </si>
  <si>
    <t>Capacity - Compliance - 12 mois</t>
  </si>
  <si>
    <t xml:space="preserve">Mensuel </t>
  </si>
  <si>
    <t>Capacity - Compliance - 36 mois</t>
  </si>
  <si>
    <t>Capacity - Compliance - PayGo</t>
  </si>
  <si>
    <t>Capacty - Compliance - 24 mois</t>
  </si>
  <si>
    <t>Performant - Compliance - 12 mois</t>
  </si>
  <si>
    <t>Performant - Compliance - 24 mois</t>
  </si>
  <si>
    <t>Performant - Compliance - 36 mois</t>
  </si>
  <si>
    <t>Performant - Compliance - PayGo</t>
  </si>
  <si>
    <t>Standard - Compliance - 12 mois</t>
  </si>
  <si>
    <t>Standard - Compliance - 24 mois</t>
  </si>
  <si>
    <t>Standard - Compliance - 36 mois</t>
  </si>
  <si>
    <t>Standard - Compliance - PayGo</t>
  </si>
  <si>
    <t>Supérieur Plus - Compliance - 12 mois</t>
  </si>
  <si>
    <t>Supérieur Plus - Compliance - 24 mois</t>
  </si>
  <si>
    <t>Supérieur Plus - Compliance - 36 mois</t>
  </si>
  <si>
    <t>Supérieur Plus - Compliance - PayGo</t>
  </si>
  <si>
    <t>Service de stockage par blocs ITI</t>
  </si>
  <si>
    <t>Extrême - CNT - Compliance - 12 mois</t>
  </si>
  <si>
    <t>Extrême - CNT - Compliance - 24 mois</t>
  </si>
  <si>
    <t>Extrême - CNT - Compliance - 36 mois</t>
  </si>
  <si>
    <t>Extrême - CNT - Compliance - PayGo</t>
  </si>
  <si>
    <t>Extrême - Compliance - 12 mois</t>
  </si>
  <si>
    <t>Extrême - Compliance - 24 mois</t>
  </si>
  <si>
    <t>Extrême - Compliance - 36 mois</t>
  </si>
  <si>
    <t>Extrême - Compliance - PayGo</t>
  </si>
  <si>
    <t>Premium Plus - CNT - Compliance - 12 mois</t>
  </si>
  <si>
    <t>Premium Plus - CNT - Compliance - 24 mois</t>
  </si>
  <si>
    <t>Premium Plus - CNT - Compliance - 36 mois</t>
  </si>
  <si>
    <t>Premium Plus - CNT - Compliance - PayGo</t>
  </si>
  <si>
    <t>Premium Plus - Compliance - 12 mois</t>
  </si>
  <si>
    <t>Premium Plus - Compliance - 24 mois</t>
  </si>
  <si>
    <t>Premium Plus - Compliance - 36 mois</t>
  </si>
  <si>
    <t>Premium Plus - Compliance - PayGo</t>
  </si>
  <si>
    <t>Firewall - IaaS/FwaaS</t>
  </si>
  <si>
    <t>***Les services de défense du périmètre réseau ITI doivent obligatoirement être accompagnés de la machine virtuelle afin d’en faire l’hébergement. Plusieurs options sont offertes selon votre cible infonuagique (Azure, Performance Cloud ou IBM Cloud). Veuillez communiquer avec ITI afin de bien dimensionner la Machine virtuelle selon votre besoin.                                             EX : Fortigate-VM (4CPU) requiert minimalement une VM Azure D4s V5 ou l'équivalent chez IBM Cloud ou Performance Cloud.                                                                                                                             ITI , n’est pas autorisé à revendre seulement la portion logicielle (licence) de cette solution.</t>
  </si>
  <si>
    <t>Service de Défense du périmètre réseau ITI</t>
  </si>
  <si>
    <t>FortiGate-VM (1 CPU) - FortiCare</t>
  </si>
  <si>
    <t>FortiGate-VM (1 CPU) - UTP Bundle</t>
  </si>
  <si>
    <t>FortiGate-VM (2 CPU) - FortiCare</t>
  </si>
  <si>
    <t>FortiGate-VM (2 CPU) - UTP Bundle</t>
  </si>
  <si>
    <t>FortiGate-VM (4 CPU) - FortiCare</t>
  </si>
  <si>
    <t>FortiGate-VM (4 CPU) - UTP Bundle</t>
  </si>
  <si>
    <t>FortiGate‐VM  (8CPU) - UTP Bundle</t>
  </si>
  <si>
    <t>FortiGate‐VM  (16CPU) - UTP Bundle</t>
  </si>
  <si>
    <t>FortiManager‐VM  10 Fortigate</t>
  </si>
  <si>
    <t>FortiManager‐VM  100 Fortigate</t>
  </si>
  <si>
    <t>FortiAuthenticator VM 100 utilisateurs</t>
  </si>
  <si>
    <t>FortiAuthenticator VM 1100 utilisateurs</t>
  </si>
  <si>
    <t>FortiClient VPN &amp; ZTNA (25 Users)</t>
  </si>
  <si>
    <t>FortiClient VPN &amp; ZTNA (500 Users)</t>
  </si>
  <si>
    <t>FortiClient VPN &amp; ZTNA (2000 Users)</t>
  </si>
  <si>
    <t>FortiToken (perpetual 1000 licences logicielles)</t>
  </si>
  <si>
    <t>FortiToken (perpetual 2000 licences)</t>
  </si>
  <si>
    <t>FortiClient EPP / APT (25 Users)</t>
  </si>
  <si>
    <t>FortiClient EPP / APT (500 Users)</t>
  </si>
  <si>
    <t>FortiClient EPP / APT (2000 Users)</t>
  </si>
  <si>
    <t>FortiWeb VM1 25 Mbps advanced bundle</t>
  </si>
  <si>
    <t>FortiWeb VM2 100 Mbps advanced bundle</t>
  </si>
  <si>
    <t>FortiWeb VM4 500 Mbps advanced bundle</t>
  </si>
  <si>
    <t>FortiWeb VM8 2 Gbps advanced bundle</t>
  </si>
  <si>
    <t>Checkpoint - CloudGuard Network NGTP 1 vCPU</t>
  </si>
  <si>
    <t>Checkpoint - CloudGuard Network NGTX 1 vCPU</t>
  </si>
  <si>
    <t>Checkpoint - Quantum Mgmt - Next Generation Security management - 5 gateway</t>
  </si>
  <si>
    <t>Checkpoint - Quantum Mgmt - Next Generation Security management - 25 gateway</t>
  </si>
  <si>
    <t>Checkpoint - Quantum Smart-1 Cloud - 1 passerelle, 50 Go, 1 Go/jour</t>
  </si>
  <si>
    <t>Checkpoint - Quantum Smart-1 Cloud - 1 passerelle, 100 Go, 3 Go/jour, SmartEvent</t>
  </si>
  <si>
    <t>Checkpoint - Quantum Smart-1 Cloud - 1 passerelle, 100 Go, 3 Go/jour, SmartEvent &amp; compliance</t>
  </si>
  <si>
    <t>Checkpoint - Quantum Smart-1 Cloud - 5 passerelles, 200 Go, 5 Go/jour</t>
  </si>
  <si>
    <t>Checkpoint - Quantum Smart-1 Cloud - 1 passerelle, 400 Go, 15 Go/jour, SmartEvent</t>
  </si>
  <si>
    <t>Checkpoint - Quantum Smart-1 Cloud - 1 passerelle, 400 Go, 15 Go/jour, SmartEvent &amp; compliance</t>
  </si>
  <si>
    <t>Backup</t>
  </si>
  <si>
    <t>Service de sauvegarde et récupération des données Metallic</t>
  </si>
  <si>
    <t>Métallic Backup pour Office 365 - Édition Essentiels (Éducation, inclus 6 étudiants)</t>
  </si>
  <si>
    <t>Par utilisateur</t>
  </si>
  <si>
    <t>Métallic Backup pour Office 365 - Édition Essentiels</t>
  </si>
  <si>
    <t>Métallic Backup pour Office 365 - Édition eDiscovery</t>
  </si>
  <si>
    <t>Métallic Backup pour Microsoft Dynamics 365</t>
  </si>
  <si>
    <t>Métallic Backup pour Salesforce</t>
  </si>
  <si>
    <t>Métallic Backup pour Postes de Travail - Édition Essentiels</t>
  </si>
  <si>
    <t>Métallic Backup pour Postes de Travail - Édition eDiscovery</t>
  </si>
  <si>
    <t>Métallic Backup pour Fichiers et Objets</t>
  </si>
  <si>
    <t>Par FETB</t>
  </si>
  <si>
    <t>Métallic Backup pour Bases de Données</t>
  </si>
  <si>
    <t>Métallic Backup pour VM et Kubernetes Backup - Standard</t>
  </si>
  <si>
    <t>Paquet de 10</t>
  </si>
  <si>
    <t>Métallic Backup pour VM et Kubernetes Backup - Avancé</t>
  </si>
  <si>
    <t>Par VM</t>
  </si>
  <si>
    <t>Métallic Backup pour VM et Kubernetes Backup - Entreprise</t>
  </si>
  <si>
    <t>Métallic Services de Stockage, Tier FROID</t>
  </si>
  <si>
    <t>Par TB</t>
  </si>
  <si>
    <t>Métallic Services de Stockage, Tier CHAUD</t>
  </si>
  <si>
    <t>Métallic Services de Stockage pour Commvault, Tier FROID</t>
  </si>
  <si>
    <t>Métallic Services de Stockage pour Commvault, Tier CHAUD</t>
  </si>
  <si>
    <t>Métallic Backup pour Postes de Travail - Mise à niveau Essentiels à eDiscovery</t>
  </si>
  <si>
    <t>Métallic Backup pour Office 365 - Mise à niveau Essentiels à eDiscovery</t>
  </si>
  <si>
    <t>Métallic ThreatWise</t>
  </si>
  <si>
    <t>ITI Cloud Data Platform - Snowflake</t>
  </si>
  <si>
    <t>Afin d'avoir plus de détails sur les services, https://www.snowflake.com/pricing/?lang=fr</t>
  </si>
  <si>
    <t>Standard</t>
  </si>
  <si>
    <t>Par crédit</t>
  </si>
  <si>
    <t>à l'utilisation</t>
  </si>
  <si>
    <t>NA</t>
  </si>
  <si>
    <t>Entreprise</t>
  </si>
  <si>
    <t>Business Critical</t>
  </si>
  <si>
    <t>Stockage à la demande (PAYG)</t>
  </si>
  <si>
    <t>To</t>
  </si>
  <si>
    <t>Capacité de Stockage (avec réservation)</t>
  </si>
  <si>
    <t>VIRTUAL PRIVATE SNOWFLAKE (VPS)</t>
  </si>
  <si>
    <t>Par Crédit</t>
  </si>
  <si>
    <t>sur demande</t>
  </si>
  <si>
    <t>VEEAM Cloud</t>
  </si>
  <si>
    <t>***Les services de VEEAM Cloud doivent obligatoirement être accompagnés des services infonuagiques permettant d’en faire l’hébergement. Plusieurs options sont offertes selon votre cible infonuagique (Azure ou IBM Cloud). Pour une cible sur Performance Cloud, référez-vous à la feuille 3.Veeam Cloud Connect. Veuillez communiquer avec ITI afin de bien dimensionner la consomation cible selon votre besoin.  ITII , n’est pas autorisé à revendre seulement la portion logicielle (licence) de cette solution.</t>
  </si>
  <si>
    <t>Veeam Availability Suite Universal Subscription</t>
  </si>
  <si>
    <t>Par 10 instances</t>
  </si>
  <si>
    <t>Veeam Backup &amp; Replication Universal Subscription</t>
  </si>
  <si>
    <t>Veeam Sauvergarde pour Office 365</t>
  </si>
  <si>
    <t>Par usagers</t>
  </si>
  <si>
    <t>Veeam Disaster Recovery Orchestrator</t>
  </si>
  <si>
    <t>Veeam Sauvegarde Environnment Containers (Kubernetes)</t>
  </si>
  <si>
    <t>Par Node</t>
  </si>
  <si>
    <t>NOTE: pour les solutions de transfert, le client doit consommer la quantité de données indiquées dans la colonne QTÉ (G)</t>
  </si>
  <si>
    <t>L'engagement pour la durée est ferme et ne peut être retiré en cours de terme.</t>
  </si>
  <si>
    <t>Afin d'éviter les hausses de prix, le client peut payer la totalité de la consommation au début du terme.</t>
  </si>
  <si>
    <t>Infrastructure service stockage | ITI</t>
  </si>
  <si>
    <t>Version 2023janv04</t>
  </si>
  <si>
    <t>Product Name</t>
  </si>
  <si>
    <t>Unit Metric</t>
  </si>
  <si>
    <t>Unit Cost per Hour USD</t>
  </si>
  <si>
    <t>Unit Cost per Hour CAD</t>
  </si>
  <si>
    <t>Estimated Monthly Unit Cost CAD</t>
  </si>
  <si>
    <t>QTY</t>
  </si>
  <si>
    <t>Infrastructure-as-a-Service</t>
  </si>
  <si>
    <t>Physical Data Location Configuration</t>
  </si>
  <si>
    <t>Tier 3+ Datacenter</t>
  </si>
  <si>
    <t>Datacenter</t>
  </si>
  <si>
    <t>INCLUDED</t>
  </si>
  <si>
    <t>vCores</t>
  </si>
  <si>
    <t>Latest Generation CPU from Intel</t>
  </si>
  <si>
    <t>vCores (Unit)</t>
  </si>
  <si>
    <t>Dedicated RAM</t>
  </si>
  <si>
    <t>Dedicated ECC High Speed RAM</t>
  </si>
  <si>
    <t>Gigabyte (GB)</t>
  </si>
  <si>
    <t>Premium SSD SAN Storage</t>
  </si>
  <si>
    <t>Compellent Enterprise SAN</t>
  </si>
  <si>
    <t>Standard HDD SAN Storage</t>
  </si>
  <si>
    <t>VM Backup</t>
  </si>
  <si>
    <t>Self-managed frequency and retention</t>
  </si>
  <si>
    <t>Virtual Server</t>
  </si>
  <si>
    <t>VM Backup - Extra Storage</t>
  </si>
  <si>
    <t>Extra storage for backups of VMs &gt; 1TB</t>
  </si>
  <si>
    <t>Terabyte (TB)</t>
  </si>
  <si>
    <t>Monthly</t>
  </si>
  <si>
    <t>Networking</t>
  </si>
  <si>
    <t>Outbound Internet Bandwidth</t>
  </si>
  <si>
    <t>(Inbound and Internal Data Transfer is free)</t>
  </si>
  <si>
    <t>VPN Site</t>
  </si>
  <si>
    <t>Site-to-Site secure VPN</t>
  </si>
  <si>
    <t>Site</t>
  </si>
  <si>
    <t>VPN Point</t>
  </si>
  <si>
    <t>Point-to-Site secure VPN</t>
  </si>
  <si>
    <t>Public IP Address</t>
  </si>
  <si>
    <t>(First 3 IP included for free)</t>
  </si>
  <si>
    <t>IP (First 3 are Free)</t>
  </si>
  <si>
    <t>Disaster Recovery - Veeam Replication</t>
  </si>
  <si>
    <t>Veeam Replication - VM</t>
  </si>
  <si>
    <t>Per VM</t>
  </si>
  <si>
    <t>Veeam Replication - Premium SSD Storage</t>
  </si>
  <si>
    <t>Per GB</t>
  </si>
  <si>
    <t>Veeam Replication - Standard HDD Storage</t>
  </si>
  <si>
    <t>Operating System Licenses</t>
  </si>
  <si>
    <t>OS Licenses</t>
  </si>
  <si>
    <t>Windows Server 2019 Datacenter, Windows Server 2016 Datacenter, Windows Server 2012 R2 Datacenter, Windows Server 2012 Datacenter, CentOS 8, CentOS 7, Ubuntu 18, Ubuntu 16</t>
  </si>
  <si>
    <t>Microsoft Remote Desktop Services</t>
  </si>
  <si>
    <t>Windows Remote Desktop Services SAL</t>
  </si>
  <si>
    <t>License</t>
  </si>
  <si>
    <t>Microsoft SQL Server</t>
  </si>
  <si>
    <t>MS SQL Server Express</t>
  </si>
  <si>
    <t>Free download</t>
  </si>
  <si>
    <t>Application</t>
  </si>
  <si>
    <t>MS SQL Server Web</t>
  </si>
  <si>
    <t>License for 2 cores. Minimum of 4 cores per server to license.</t>
  </si>
  <si>
    <t>License (2 cores)</t>
  </si>
  <si>
    <t>MS SQL Server Standard</t>
  </si>
  <si>
    <t>MS SQL Server Enterprise</t>
  </si>
  <si>
    <t>Management</t>
  </si>
  <si>
    <t>NOC Essentials</t>
  </si>
  <si>
    <t>Network Operations Center (NOC) for Partners - Essentials Plan</t>
  </si>
  <si>
    <t>NOC Pro</t>
  </si>
  <si>
    <t>Network Operations Center (NOC) for Partners - Pro Plan</t>
  </si>
  <si>
    <t>NOC VIP</t>
  </si>
  <si>
    <t>Network Operations Center (NOC) for Partners - VIP Plan</t>
  </si>
  <si>
    <t>Managed Cloud Pro</t>
  </si>
  <si>
    <t>Network Operations Center (NOC) for direct customers - Pro Plan</t>
  </si>
  <si>
    <t>Managed Cloud VIP</t>
  </si>
  <si>
    <t>Network Operations Center (NOC) for direct customers - VIP Plan</t>
  </si>
  <si>
    <t>Professional Services</t>
  </si>
  <si>
    <t>Installation Fees (Included)</t>
  </si>
  <si>
    <t>Per hour</t>
  </si>
  <si>
    <t>Setup Fee</t>
  </si>
  <si>
    <t>Installation Fees (Billable)</t>
  </si>
  <si>
    <t>Coût de l'unité par heure USD</t>
  </si>
  <si>
    <t>Coût de l'unité par heure CAD</t>
  </si>
  <si>
    <t>Infrastructure-Service</t>
  </si>
  <si>
    <t>Configuration de l'emplacement des données physiques</t>
  </si>
  <si>
    <t>Centre de données Tier3+</t>
  </si>
  <si>
    <t>Centre de données</t>
  </si>
  <si>
    <t>INCLUS</t>
  </si>
  <si>
    <t>Cœurs virtuels (vCores)</t>
  </si>
  <si>
    <t>Dernière génération de processeurs INTEL</t>
  </si>
  <si>
    <t>vCore (Unité)</t>
  </si>
  <si>
    <t>Mémoire dédiée</t>
  </si>
  <si>
    <t>Mémoire dédiée ECC Haute Vitesse</t>
  </si>
  <si>
    <t>Stockage Premium SSD en réseau</t>
  </si>
  <si>
    <t>Stockage en réseau Compellent Enterprise</t>
  </si>
  <si>
    <t>Stockage Standard HDD en réseau</t>
  </si>
  <si>
    <t>Sauvegarde VM</t>
  </si>
  <si>
    <t>Plan de sauvegarde quotidien, 7 jrs/7, par VM</t>
  </si>
  <si>
    <t>Serveur virtuel</t>
  </si>
  <si>
    <t>Sauvegarde VM - Stockage Extra</t>
  </si>
  <si>
    <t>Stockage additionnel pour les sauvegardes de VM &gt; 1To</t>
  </si>
  <si>
    <t>Teraoctet (To)</t>
  </si>
  <si>
    <t>Réseautage</t>
  </si>
  <si>
    <t>Bande passante Internet en sortie</t>
  </si>
  <si>
    <t>Tout le trafic local et en entrée n'est pas facturé</t>
  </si>
  <si>
    <t>RPV Site (VPN)</t>
  </si>
  <si>
    <t>RPV site à site sécurisé</t>
  </si>
  <si>
    <t>RPV Point (VPN)</t>
  </si>
  <si>
    <t>RPV point à site sécurisé</t>
  </si>
  <si>
    <t>Usager</t>
  </si>
  <si>
    <t>Adresse IP publique</t>
  </si>
  <si>
    <t>(Les 3 premières adresses IP sont incluses et sans frais)</t>
  </si>
  <si>
    <r>
      <t>IP (Les 3 1</t>
    </r>
    <r>
      <rPr>
        <vertAlign val="superscript"/>
        <sz val="11"/>
        <color theme="1"/>
        <rFont val="Calibri"/>
        <family val="2"/>
        <scheme val="minor"/>
      </rPr>
      <t>e</t>
    </r>
    <r>
      <rPr>
        <sz val="11"/>
        <color theme="1"/>
        <rFont val="Calibri"/>
        <family val="2"/>
        <scheme val="minor"/>
      </rPr>
      <t xml:space="preserve"> gratuites)</t>
    </r>
  </si>
  <si>
    <t>Recouvrement après désastre - Veeam Réplication</t>
  </si>
  <si>
    <t>Veeam Réplication - VM</t>
  </si>
  <si>
    <t>Veeam Réplication - Stockage Premium SSD</t>
  </si>
  <si>
    <t>Par Go</t>
  </si>
  <si>
    <t>Veeam Réplication - Stockage Standard HDD</t>
  </si>
  <si>
    <t>Licences de Système d'Exploitation</t>
  </si>
  <si>
    <t>Licences systèmes d'exploitation</t>
  </si>
  <si>
    <t>Microsoft Services Bureau à Distance</t>
  </si>
  <si>
    <t>Windows Services Bureau à Distance SAL</t>
  </si>
  <si>
    <t>Licence</t>
  </si>
  <si>
    <t>Microsoft SQL Serveur</t>
  </si>
  <si>
    <t>MS SQL Serveur Express</t>
  </si>
  <si>
    <t>Téléchargement gratuit</t>
  </si>
  <si>
    <t>MS SQL Serveur Web</t>
  </si>
  <si>
    <t>Licence pour 2 coeurs. Un minimum de 4 coeurs par serveur à couvrir.</t>
  </si>
  <si>
    <t>Licence (2 coeurs)</t>
  </si>
  <si>
    <t>MS SQL Serveur Standard</t>
  </si>
  <si>
    <t>MS SQL Serveur Entreprise</t>
  </si>
  <si>
    <t>Gestion</t>
  </si>
  <si>
    <t>NOC Essentiel</t>
  </si>
  <si>
    <t>Centre d'exploitation du réseau (NOC) pour partenaires - Plan essentiel</t>
  </si>
  <si>
    <t>Centre d'exploitation du réseau (NOC) pour partenaires - Plan pro</t>
  </si>
  <si>
    <t>NOC Supérieur</t>
  </si>
  <si>
    <t>Centre d'exploitation du réseau (NOC) pour partenaires - Plan VIP</t>
  </si>
  <si>
    <t>Cloud Géré Pro</t>
  </si>
  <si>
    <t>Centre d'exploitation du réseau (NOC) pour clients directs - Plan pro</t>
  </si>
  <si>
    <t>Cloud Géré Supérieur</t>
  </si>
  <si>
    <t>Centre d'exploitation du réseau (NOC) pour clients directs - Plan VIP</t>
  </si>
  <si>
    <t>Services professionnels</t>
  </si>
  <si>
    <t>Frais d'installation (inclus)</t>
  </si>
  <si>
    <t>Par heure</t>
  </si>
  <si>
    <t>Frais d'installation</t>
  </si>
  <si>
    <t>Frais d'installation (facturable)</t>
  </si>
  <si>
    <t>Payment Frequency</t>
  </si>
  <si>
    <t>Monthly Unit Cost USD</t>
  </si>
  <si>
    <t>Monthly Unit Cost CAD</t>
  </si>
  <si>
    <t>Monthly Total Cost</t>
  </si>
  <si>
    <t>Resources</t>
  </si>
  <si>
    <t>CPU</t>
  </si>
  <si>
    <t>Add 1 CPU core to your virtual datacenter</t>
  </si>
  <si>
    <t>Core</t>
  </si>
  <si>
    <t>RAM</t>
  </si>
  <si>
    <t>Add 1GB RAM to your virtual datacenter</t>
  </si>
  <si>
    <t>Premium SSD Storage</t>
  </si>
  <si>
    <t>Add 1GB SSD storage to your virtual datacenter</t>
  </si>
  <si>
    <t>Standard HDD Storage</t>
  </si>
  <si>
    <t>Add 1GB HDD storage to your virtual datacenter</t>
  </si>
  <si>
    <t>Backup Storage</t>
  </si>
  <si>
    <t>Add 1GB backup storage to your virtual datacenter</t>
  </si>
  <si>
    <t>Licenses</t>
  </si>
  <si>
    <t>Operating System License</t>
  </si>
  <si>
    <t>Windows Server 2012 Datacenter and up, CentOS, Ubuntu</t>
  </si>
  <si>
    <t>Veeam</t>
  </si>
  <si>
    <t>Veeam Backup &amp; Replication</t>
  </si>
  <si>
    <t>Optional Licenses</t>
  </si>
  <si>
    <t>Microsoft SQL Server Express</t>
  </si>
  <si>
    <t>Microsoft SQL Server Web</t>
  </si>
  <si>
    <t>Microsoft SQL Server Standard</t>
  </si>
  <si>
    <t>Microsoft SQL Server Enterprise</t>
  </si>
  <si>
    <t>Add 1 public IP address to your three free IP</t>
  </si>
  <si>
    <t>1 public IP</t>
  </si>
  <si>
    <t>Edge Services Gateway - Compact HA</t>
  </si>
  <si>
    <t>Edge Services Gateway - Compact size, high availability</t>
  </si>
  <si>
    <t>Gateway</t>
  </si>
  <si>
    <t>Edge Services Gateway - Large</t>
  </si>
  <si>
    <t>Edge Services Gateway - Large size</t>
  </si>
  <si>
    <t>Edge Services Gateway - Large HA</t>
  </si>
  <si>
    <t>Edge Services Gateway - Large size, high availability</t>
  </si>
  <si>
    <t>Edge Services Gateway - Quad Large</t>
  </si>
  <si>
    <t>Edge Services Gateway - Quad Large size</t>
  </si>
  <si>
    <t>Edge Services Gateway - Quad Large HA</t>
  </si>
  <si>
    <t>Edge Services Gateway - Quad Large size, high availability</t>
  </si>
  <si>
    <t>Edge Services Gateway - Extra Large</t>
  </si>
  <si>
    <t>Edge Services Gateway - Extra Large size</t>
  </si>
  <si>
    <t>Edge Services Gateway - Extra Large HA</t>
  </si>
  <si>
    <t>Edge Services Gateway - Extra Large size, high availability</t>
  </si>
  <si>
    <t>Coût mensuel USD</t>
  </si>
  <si>
    <t>Ressources</t>
  </si>
  <si>
    <t>Ajoutez 1 coeur CPU à votre centre de données virtuel</t>
  </si>
  <si>
    <t>Coeur</t>
  </si>
  <si>
    <t>Ajoutez 1Go mémoire à votre centre de données virtuel</t>
  </si>
  <si>
    <t>Stockage Premium SSD</t>
  </si>
  <si>
    <t>Ajoutez 1Go stockage SSD à votre centre de données virtuel</t>
  </si>
  <si>
    <t>Stockage Standard HDD</t>
  </si>
  <si>
    <t>Ajoutez 1Go stockage HDD à votre centre de données virtuel</t>
  </si>
  <si>
    <t>Stockage Sauvegarde</t>
  </si>
  <si>
    <t>Ajoutez 1Go stockage sauvegarde à votre centre de données virtuel</t>
  </si>
  <si>
    <t>Licences</t>
  </si>
  <si>
    <t>Windows Server 2012 Datacenter en montant, CentOS, Ubuntu</t>
  </si>
  <si>
    <t>Licences Optionnelles</t>
  </si>
  <si>
    <t>Mise en réseau</t>
  </si>
  <si>
    <t>Ajoutez 1 adresse IP publique à vos 3 IP gratuites</t>
  </si>
  <si>
    <t>1 IP publique</t>
  </si>
  <si>
    <t>Edge Services Gateway - Taille compacte, haute disponibilité</t>
  </si>
  <si>
    <t>Passerelle</t>
  </si>
  <si>
    <t>Edge Services Gateway - Taille large</t>
  </si>
  <si>
    <t>Edge Services Gateway - Taille large, haute disponibilité</t>
  </si>
  <si>
    <t>Edge Services Gateway - Taille quad large</t>
  </si>
  <si>
    <t>Edge Services Gateway - Taille quad large, haute disponibilité</t>
  </si>
  <si>
    <t>Edge Services Gateway - Taille extra large</t>
  </si>
  <si>
    <t>Edge Services Gateway - Taille extra large, haute disponibilité</t>
  </si>
  <si>
    <t>Sheet 1: Info</t>
  </si>
  <si>
    <t>Sheet 2: VM</t>
  </si>
  <si>
    <t>Sheet 4: PC Vmware</t>
  </si>
  <si>
    <t>Language + Partner/Direct</t>
  </si>
  <si>
    <t>How to Use: Server Breakdown</t>
  </si>
  <si>
    <t>NOC Options</t>
  </si>
  <si>
    <t>Disclaimer: Customers should not use the entirety of their storage quota since manual snapshots, automated snapshots for backup purposes and virtual machine swap (page file, where 1GB RAM = 1GB storage) all require some disk space. These items count against a customer's storage pool, in the same tier than the pre-defined storage policy used by the virtual machine. The same thing applies to backup storage, so customers are encouraged to account for around 20% free space on all storage types. Performance Cloud VMware terms for 1 or 3 years only apply on Core Services.</t>
  </si>
  <si>
    <t>English</t>
  </si>
  <si>
    <t>You can use this sheet to make your server split, to give you a view of the resources breakdown. Enter your server name and wanted resources in the appropriate cells. The total will be calculated automatically and those total numbers will be added in the Cost Estimator automatically.</t>
  </si>
  <si>
    <t>Partner</t>
  </si>
  <si>
    <t>Direct</t>
  </si>
  <si>
    <t>Partenaire</t>
  </si>
  <si>
    <t>Vous pouvez utiliser cette feuille pour créer votre séparation de serveurs, pour vous donner une vue de la division des ressources. Entrez le nom du serveur et les ressources voulues dans les cellules appropriées. Le total sera calculé automatiquement et ces nombres totaux seront ajoutés automatiquement à l'estimateur de coûts.</t>
  </si>
  <si>
    <t>Aucun</t>
  </si>
  <si>
    <t>Avertissement: Les clients ne devraient pas utiliser l'entièreté de leur quota de stockage puisque les captures de disque manuelles, captures de disque automatisées pour les sauvegardes et l'espace de swap des machines virtuelles (fichier de pagination où 1Go RAM = 1Go stockage) nécessitent tous de l'espace disque. Ces items comptent dans l'espace de stockage du client, dans le même tier que la stratégie de stockage pré-définie en utilisation par la machine virtuelle. La même chose s'applique pour le stockage de sauvegarde, donc les clients sont encouragés de prévoir environ 20% d'espace libre sur tous les types de stockage. Les termes Performance Cloud VMware pour 1 ou 3 années s'appliquent uniquement aux Services Essentiels.</t>
  </si>
  <si>
    <t>Operating Systems</t>
  </si>
  <si>
    <t>Datacenters</t>
  </si>
  <si>
    <t>CentOS 8</t>
  </si>
  <si>
    <t>Ashburn (USA)</t>
  </si>
  <si>
    <t>CentOS 7</t>
  </si>
  <si>
    <t>Charlotte (USA)</t>
  </si>
  <si>
    <t>FreeBSD (pfSense)</t>
  </si>
  <si>
    <t>Ubuntu Server 18.04 LTS</t>
  </si>
  <si>
    <t>Quebec (CAN)</t>
  </si>
  <si>
    <t>Ubuntu Server 16.04 LTS</t>
  </si>
  <si>
    <t>Calculations for bundles and add-ons - UNUSED AT THE MOMENT!!!</t>
  </si>
  <si>
    <t>Windows Server 2019 Datacenter</t>
  </si>
  <si>
    <t>Currencies</t>
  </si>
  <si>
    <t>Windows Server 2016 Datacenter</t>
  </si>
  <si>
    <t>SSD</t>
  </si>
  <si>
    <t>HDD</t>
  </si>
  <si>
    <t>Windows Server 2012 R2 Datacenter</t>
  </si>
  <si>
    <t>Required:</t>
  </si>
  <si>
    <t>Windows Server 2012 Datacenter</t>
  </si>
  <si>
    <t>Included per plan</t>
  </si>
  <si>
    <t>SQL Version/Edition</t>
  </si>
  <si>
    <t>Starter Plan:</t>
  </si>
  <si>
    <t>Provide your client with a short description of the solution with points to address their specific needs.  Clients always appreciate a personal touch. They want to know you're not just entering numbers in a form. Make sure you insert a description of the specific solution you're proposing.</t>
  </si>
  <si>
    <t>MySQL 8.0</t>
  </si>
  <si>
    <t>Essentials Plan:</t>
  </si>
  <si>
    <t>Fournissez à votre client une courte description de la solution contenant les points qui répondent à leurs besoins spécifiques. Les clients apprécient toujours une touche personnelle. Ils veulent savoir que vous ne faites pas seulement qu'entrer des chiffres dans un formulaire. Assurez-vous d'insérer une description de la solution spécifique que vous leur proposez.</t>
  </si>
  <si>
    <t>MySQL 5.7</t>
  </si>
  <si>
    <t>Standard Plan:</t>
  </si>
  <si>
    <t>MySQL 5.6</t>
  </si>
  <si>
    <t>Pro Plan:</t>
  </si>
  <si>
    <t>How to Use: Info</t>
  </si>
  <si>
    <t>Microsoft SQL Server 2019 Express</t>
  </si>
  <si>
    <t>1. Select the proper values in the "1. Info" cells (column B).
2. In the "2. VM" sheet, enter your servers specifications.
3. In the Performance Cloud sheet(s), adjust the quantities as needed.
4. Hide the rows of services and plans you don't use. *
* Note that hidden products still count in the total cost, so make sure they are at 0.</t>
  </si>
  <si>
    <t>Microsoft SQL Server 2019 Web</t>
  </si>
  <si>
    <t>Quantity per add-on:</t>
  </si>
  <si>
    <t>1. Sélectionnez les bonnes valeurs dans les cellules "1. Info" (colonne B).
2. Dans la feuille "2. VM", entrez les spécifications de vos serveurs.
3. Dans la (les) feuille(s) Performance Cloud, ajustez les quantités selon votre besoin.
4. Masquez les rangées des services et plans non-utilisées.*
* Prenez note que les produits cachés comptent dans le coût total. Assurez-vous qu'ils sont à 0.</t>
  </si>
  <si>
    <t>Microsoft SQL Server 2019 Standard</t>
  </si>
  <si>
    <t>Microsoft SQL Server 2019 Enterprise</t>
  </si>
  <si>
    <t>Important Notes</t>
  </si>
  <si>
    <t>Microsoft SQL Server 2017 Express</t>
  </si>
  <si>
    <t>* Validity: Quotes are valid for 30 days and exclusively for the solution that was scoped.
* Resources: Sherweb will help the CLIENT determine the required resources for your solution based on our experience, best practices and relying on the information you provide to us. Sherweb cannot be held responsible (legally or contractually) for misestimating resources. The required resources will be determined on a case by case basis by considering elements such as: actual usage, number of transactions, components used in your applications, number of users, etc. 
* Recommendations: The CLIENT acknowledges that its own decision, action, or omission to deviate from the best practices and recommended architectures may result in issues or errors later on when updates or expansions are required. You are responsible for making your own representative proof of concept and testing. Sherweb does not provide any warranty for the proposed solution and will charge professional services fees for any requests that results from your actions or omissions, whether the solution was provisioned by Sherweb or not.</t>
  </si>
  <si>
    <t>Microsoft SQL Server 2017 Web</t>
  </si>
  <si>
    <t>* Validité : Les devis sont valables pendant 30 jours et exclusivement pour la solution qui a été discutée.
* Ressources : Sherweb aidera le CLIENT à déterminer les ressources nécessaires à votre solution en fonction de notre expérience, de nos pratiques exemplaires et en s’appuyant sur les informations que vous nous fournissez. Sherweb ne peut être tenu responsable (légalement ou contractuellement) d’avoir mal estimé les ressources. Les ressources requises seront déterminées au cas par cas en tenant compte d’éléments tels que : l’utilisation réelle, le nombre de transactions, les composants utilisés dans vos applications, le nombre d’utilisateurs, etc. 
* Recommandations : Le CLIENT reconnaît que sa propre décision, action ou omission de dévier des pratiques exemplaires et des architectures recommandées peut entraîner des problèmes ou des erreurs plus tard lorsque des mises à jour ou des expansions sont nécessaires. Vous êtes responsable de faire votre propre preuve représentative de concept et de test. Sherweb ne fournit aucune garantie pour la solution proposée et facturera des frais de services professionnels pour toutes les demandes qui résultent de vos actions ou omissions, que la solution ait été fourni par Sherweb ou non.</t>
  </si>
  <si>
    <t>Microsoft SQL Server 2017 Standard</t>
  </si>
  <si>
    <t>Microsoft SQL Server 2017 Enterprise</t>
  </si>
  <si>
    <t>PC VMware Terms</t>
  </si>
  <si>
    <t>Discount (%)</t>
  </si>
  <si>
    <t>Microsoft SQL Server 2016 Express</t>
  </si>
  <si>
    <t>Microsoft SQL Server 2016 Web</t>
  </si>
  <si>
    <t>Microsoft SQL Server 2016 Standard</t>
  </si>
  <si>
    <t>Microsoft SQL Server 2016 Enterprise</t>
  </si>
  <si>
    <t>Microsoft SQL Server 2014 Express</t>
  </si>
  <si>
    <t>Microsoft SQL Server 2014 Web</t>
  </si>
  <si>
    <t>Microsoft SQL Server 2014 Standard</t>
  </si>
  <si>
    <t>Microsoft SQL Server 2014 Enterprise</t>
  </si>
  <si>
    <t>Microsoft SQL Server 2012 Express</t>
  </si>
  <si>
    <t>Microsoft SQL Server 2012 Web</t>
  </si>
  <si>
    <t>Microsoft SQL Server 2012 Standard</t>
  </si>
  <si>
    <t>Microsoft SQL Server 2012 Enterprise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</si>
</sst>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0.00\ &quot;$&quot;_);[Red]\(#,##0.00\ &quot;$&quot;\)"/>
    <numFmt numFmtId="44" formatCode="_ * #,##0.00_)\ &quot;$&quot;_ ;_ * \(#,##0.00\)\ &quot;$&quot;_ ;_ * &quot;-&quot;??_)\ &quot;$&quot;_ ;_ @_ "/>
    <numFmt numFmtId="164" formatCode="_(&quot;$&quot;* #,##0.00_);_(&quot;$&quot;* \(#,##0.00\);_(&quot;$&quot;* &quot;-&quot;??_);_(@_)"/>
    <numFmt numFmtId="165" formatCode="_ * #,##0.0000_)\ &quot;$&quot;_ ;_ * \(#,##0.0000\)\ &quot;$&quot;_ ;_ * &quot;-&quot;??_)\ &quot;$&quot;_ ;_ @_ "/>
    <numFmt numFmtId="166" formatCode="_-&quot;$&quot;* #,##0.0000_-;\-&quot;$&quot;* #,##0.0000_-;_-&quot;$&quot;* &quot;-&quot;??_-;_-@_-"/>
    <numFmt numFmtId="167" formatCode="_-&quot;$&quot;* #,##0.000000_-;\-&quot;$&quot;* #,##0.000000_-;_-&quot;$&quot;* &quot;-&quot;??_-;_-@_-"/>
    <numFmt numFmtId="168" formatCode="_(&quot;$&quot;* #,##0.000000_);_(&quot;$&quot;* \(#,##0.000000\);_(&quot;$&quot;* &quot;-&quot;??_);_(@_)"/>
    <numFmt numFmtId="169" formatCode="_(&quot;$&quot;* #,##0.0000_);_(&quot;$&quot;* \(#,##0.0000\);_(&quot;$&quot;* &quot;-&quot;??_);_(@_)"/>
    <numFmt numFmtId="177" formatCode="#,##0.00\ [$CAD]"/>
    <numFmt numFmtId="178" formatCode="#,##0.00\ [$USD]"/>
  </numFmts>
  <fonts count="39">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sz val="11"/>
      <color theme="1"/>
      <name val="Calibri"/>
      <family val="2"/>
    </font>
    <font>
      <vertAlign val="superscript"/>
      <sz val="11"/>
      <color theme="1"/>
      <name val="Calibri"/>
      <family val="2"/>
      <scheme val="minor"/>
    </font>
    <font>
      <sz val="9"/>
      <name val="Tahoma"/>
      <family val="2"/>
    </font>
    <font>
      <b/>
      <sz val="9"/>
      <name val="Tahoma"/>
      <family val="2"/>
    </font>
    <font>
      <b/>
      <sz val="12"/>
      <color theme="0"/>
      <name val="Arial"/>
      <family val="2"/>
    </font>
    <font>
      <sz val="12"/>
      <color theme="1"/>
      <name val="Arial"/>
      <family val="2"/>
    </font>
    <font>
      <b/>
      <sz val="10"/>
      <color theme="1"/>
      <name val="Arial"/>
      <family val="2"/>
    </font>
    <font>
      <sz val="10"/>
      <color theme="1"/>
      <name val="Arial"/>
      <family val="2"/>
    </font>
    <font>
      <i/>
      <sz val="10"/>
      <color theme="1"/>
      <name val="Arial"/>
      <family val="2"/>
    </font>
    <font>
      <u val="single"/>
      <sz val="11"/>
      <color theme="10"/>
      <name val="Calibri"/>
      <family val="2"/>
      <scheme val="minor"/>
    </font>
    <font>
      <sz val="11"/>
      <color rgb="FFFF0000"/>
      <name val="Calibri"/>
      <family val="2"/>
      <scheme val="minor"/>
    </font>
    <font>
      <b/>
      <sz val="11"/>
      <color rgb="FFFF0000"/>
      <name val="Calibri"/>
      <family val="2"/>
      <scheme val="minor"/>
    </font>
    <font>
      <u val="single"/>
      <sz val="11"/>
      <color rgb="FFFF0000"/>
      <name val="Calibri (Body)"/>
      <family val="2"/>
    </font>
    <font>
      <sz val="11"/>
      <color theme="1"/>
      <name val="Arial"/>
      <family val="2"/>
    </font>
    <font>
      <b/>
      <sz val="14"/>
      <color theme="0"/>
      <name val="Arial"/>
      <family val="2"/>
    </font>
    <font>
      <sz val="11"/>
      <color rgb="FF414042"/>
      <name val="Arial"/>
      <family val="2"/>
    </font>
    <font>
      <b/>
      <sz val="11"/>
      <color theme="0"/>
      <name val="Arial"/>
      <family val="2"/>
    </font>
    <font>
      <b/>
      <sz val="10"/>
      <color theme="0"/>
      <name val="Arial"/>
      <family val="2"/>
    </font>
    <font>
      <sz val="9"/>
      <name val="Arial"/>
      <family val="2"/>
    </font>
    <font>
      <b/>
      <sz val="9"/>
      <name val="Arial"/>
      <family val="2"/>
    </font>
    <font>
      <b/>
      <sz val="14"/>
      <color theme="1"/>
      <name val="Arial"/>
      <family val="2"/>
    </font>
    <font>
      <b/>
      <sz val="9"/>
      <color rgb="FFF1F2F2"/>
      <name val="Arial"/>
      <family val="2"/>
    </font>
    <font>
      <sz val="9"/>
      <color theme="1"/>
      <name val="Arial"/>
      <family val="2"/>
    </font>
    <font>
      <b/>
      <sz val="10"/>
      <name val="Arial"/>
      <family val="2"/>
    </font>
    <font>
      <b/>
      <sz val="11"/>
      <color theme="1"/>
      <name val="Arial"/>
      <family val="2"/>
    </font>
    <font>
      <b/>
      <i/>
      <sz val="11"/>
      <color theme="1"/>
      <name val="Arial"/>
      <family val="2"/>
    </font>
    <font>
      <sz val="14"/>
      <color theme="1"/>
      <name val="Arial"/>
      <family val="2"/>
    </font>
    <font>
      <sz val="14"/>
      <color rgb="FF414042"/>
      <name val="Arial"/>
      <family val="2"/>
    </font>
    <font>
      <b/>
      <sz val="10"/>
      <color theme="0"/>
      <name val="Century Gothic"/>
      <family val="2"/>
    </font>
    <font>
      <sz val="9"/>
      <name val="Century Gothic"/>
      <family val="2"/>
    </font>
    <font>
      <sz val="9"/>
      <color theme="1"/>
      <name val="Century Gothic"/>
      <family val="2"/>
    </font>
    <font>
      <sz val="11"/>
      <color rgb="FF000000"/>
      <name val="Calibri"/>
      <family val="2"/>
      <scheme val="minor"/>
    </font>
    <font>
      <sz val="9"/>
      <color rgb="FF000000"/>
      <name val="Century Gothic"/>
      <family val="2"/>
    </font>
    <font>
      <sz val="8"/>
      <name val="Calibri"/>
      <family val="2"/>
      <scheme val="minor"/>
    </font>
    <font>
      <b/>
      <sz val="8"/>
      <name val="Calibri"/>
      <family val="2"/>
    </font>
  </fonts>
  <fills count="11">
    <fill>
      <patternFill/>
    </fill>
    <fill>
      <patternFill patternType="gray125"/>
    </fill>
    <fill>
      <patternFill patternType="solid">
        <fgColor theme="0" tint="-0.24997000396251678"/>
        <bgColor indexed="64"/>
      </patternFill>
    </fill>
    <fill>
      <patternFill patternType="solid">
        <fgColor theme="4" tint="-0.24997000396251678"/>
        <bgColor indexed="64"/>
      </patternFill>
    </fill>
    <fill>
      <patternFill patternType="solid">
        <fgColor rgb="FF005BA7"/>
        <bgColor indexed="64"/>
      </patternFill>
    </fill>
    <fill>
      <patternFill patternType="solid">
        <fgColor theme="0"/>
        <bgColor indexed="64"/>
      </patternFill>
    </fill>
    <fill>
      <patternFill patternType="solid">
        <fgColor rgb="FFF59A00"/>
        <bgColor indexed="64"/>
      </patternFill>
    </fill>
    <fill>
      <patternFill patternType="solid">
        <fgColor rgb="FF0061AA"/>
        <bgColor indexed="64"/>
      </patternFill>
    </fill>
    <fill>
      <patternFill patternType="solid">
        <fgColor rgb="FF00B050"/>
        <bgColor indexed="64"/>
      </patternFill>
    </fill>
    <fill>
      <patternFill patternType="solid">
        <fgColor theme="0" tint="-0.4999699890613556"/>
        <bgColor indexed="64"/>
      </patternFill>
    </fill>
    <fill>
      <patternFill patternType="solid">
        <fgColor rgb="FFBFBFBF"/>
        <bgColor indexed="64"/>
      </patternFill>
    </fill>
  </fills>
  <borders count="33">
    <border>
      <left/>
      <right/>
      <top/>
      <bottom/>
      <diagonal/>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color theme="4" tint="-0.24993999302387238"/>
      </left>
      <right/>
      <top style="medium">
        <color theme="4" tint="-0.24993999302387238"/>
      </top>
      <bottom style="medium">
        <color theme="4" tint="-0.24993999302387238"/>
      </bottom>
    </border>
    <border>
      <left/>
      <right style="medium">
        <color theme="4" tint="-0.24993999302387238"/>
      </right>
      <top style="medium">
        <color theme="4" tint="-0.24993999302387238"/>
      </top>
      <bottom style="medium">
        <color theme="4" tint="-0.24993999302387238"/>
      </bottom>
    </border>
    <border>
      <left style="medium">
        <color rgb="FFFF0000"/>
      </left>
      <right/>
      <top/>
      <bottom/>
    </border>
    <border>
      <left style="medium">
        <color rgb="FFFF0000"/>
      </left>
      <right/>
      <top style="medium">
        <color rgb="FFFF0000"/>
      </top>
      <bottom style="medium">
        <color rgb="FFFF0000"/>
      </bottom>
    </border>
    <border>
      <left/>
      <right/>
      <top/>
      <bottom style="medium">
        <color theme="0"/>
      </bottom>
    </border>
    <border>
      <left style="medium">
        <color rgb="FF0061AA"/>
      </left>
      <right style="medium">
        <color rgb="FF0061AA"/>
      </right>
      <top style="medium">
        <color theme="4" tint="-0.24993999302387238"/>
      </top>
      <bottom style="medium">
        <color theme="4" tint="-0.24993999302387238"/>
      </bottom>
    </border>
    <border>
      <left style="medium">
        <color rgb="FF0061AA"/>
      </left>
      <right/>
      <top/>
      <bottom/>
    </border>
    <border>
      <left/>
      <right style="thin">
        <color rgb="FFF1F2F2"/>
      </right>
      <top/>
      <bottom/>
    </border>
    <border>
      <left style="thin">
        <color rgb="FFF1F2F2"/>
      </left>
      <right style="thin">
        <color rgb="FFF1F2F2"/>
      </right>
      <top/>
      <bottom/>
    </border>
    <border>
      <left style="thin">
        <color rgb="FFF1F2F2"/>
      </left>
      <right/>
      <top/>
      <bottom/>
    </border>
    <border>
      <left style="thin"/>
      <right style="medium"/>
      <top/>
      <bottom style="thin"/>
    </border>
    <border>
      <left style="medium"/>
      <right style="thin"/>
      <top/>
      <bottom style="thin"/>
    </border>
    <border>
      <left style="medium">
        <color rgb="FF2F75B5"/>
      </left>
      <right style="medium">
        <color rgb="FF2F75B5"/>
      </right>
      <top style="medium">
        <color rgb="FF2F75B5"/>
      </top>
      <bottom/>
    </border>
    <border>
      <left style="medium">
        <color rgb="FF2F75B5"/>
      </left>
      <right style="medium">
        <color rgb="FF2F75B5"/>
      </right>
      <top/>
      <bottom/>
    </border>
    <border>
      <left style="medium">
        <color rgb="FF2F75B5"/>
      </left>
      <right style="medium">
        <color rgb="FF2F75B5"/>
      </right>
      <top/>
      <bottom style="medium">
        <color rgb="FF2F75B5"/>
      </bottom>
    </border>
    <border>
      <left style="medium">
        <color rgb="FF0061AA"/>
      </left>
      <right/>
      <top style="medium">
        <color rgb="FF0061AA"/>
      </top>
      <bottom style="medium">
        <color rgb="FF0061AA"/>
      </bottom>
    </border>
    <border>
      <left/>
      <right/>
      <top style="medium">
        <color rgb="FF0061AA"/>
      </top>
      <bottom style="medium">
        <color rgb="FF0061AA"/>
      </bottom>
    </border>
    <border>
      <left/>
      <right style="medium">
        <color rgb="FF0061AA"/>
      </right>
      <top style="medium">
        <color rgb="FF0061AA"/>
      </top>
      <bottom style="medium">
        <color rgb="FF0061AA"/>
      </bottom>
    </border>
    <border>
      <left style="thin"/>
      <right style="medium"/>
      <top style="medium"/>
      <bottom style="thin"/>
    </border>
    <border>
      <left style="medium"/>
      <right style="thin"/>
      <top style="medium"/>
      <bottom/>
    </border>
    <border>
      <left style="medium"/>
      <right style="thin"/>
      <top/>
      <bottom style="medium"/>
    </border>
    <border>
      <left style="medium">
        <color theme="0"/>
      </left>
      <right/>
      <top style="medium">
        <color theme="0"/>
      </top>
      <bottom style="medium">
        <color theme="0"/>
      </bottom>
    </border>
    <border>
      <left/>
      <right style="medium">
        <color theme="0"/>
      </right>
      <top style="medium">
        <color theme="0"/>
      </top>
      <bottom style="medium">
        <color theme="0"/>
      </bottom>
    </border>
    <border>
      <left style="medium"/>
      <right/>
      <top style="medium"/>
      <bottom style="thin"/>
    </border>
    <border>
      <left/>
      <right/>
      <top style="medium"/>
      <bottom style="thin"/>
    </border>
    <border>
      <left/>
      <right style="medium"/>
      <top style="medium"/>
      <bottom style="thin"/>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cellStyleXfs>
  <cellXfs count="185">
    <xf numFmtId="0" fontId="0" fillId="0" borderId="0" xfId="0"/>
    <xf numFmtId="0" fontId="3" fillId="0" borderId="0" xfId="0" applyFont="1"/>
    <xf numFmtId="165" fontId="0" fillId="0" borderId="0" xfId="20" applyNumberFormat="1" applyFont="1" applyAlignment="1">
      <alignment horizontal="center"/>
    </xf>
    <xf numFmtId="164" fontId="0" fillId="0" borderId="0" xfId="20" applyFont="1" applyAlignment="1">
      <alignment horizontal="center"/>
    </xf>
    <xf numFmtId="0" fontId="0" fillId="0" borderId="0" xfId="0" applyAlignment="1">
      <alignment horizontal="center"/>
    </xf>
    <xf numFmtId="164" fontId="0" fillId="0" borderId="0" xfId="20" applyFont="1"/>
    <xf numFmtId="0" fontId="0" fillId="2" borderId="0" xfId="0" applyFill="1"/>
    <xf numFmtId="164" fontId="0" fillId="2" borderId="0" xfId="20" applyFont="1" applyFill="1"/>
    <xf numFmtId="0" fontId="0" fillId="2" borderId="0" xfId="0" applyFill="1" applyAlignment="1">
      <alignment wrapText="1"/>
    </xf>
    <xf numFmtId="0" fontId="0" fillId="0" borderId="0" xfId="0" applyAlignment="1">
      <alignment wrapText="1"/>
    </xf>
    <xf numFmtId="0" fontId="4" fillId="0" borderId="0" xfId="0" applyFont="1"/>
    <xf numFmtId="166" fontId="0" fillId="2" borderId="0" xfId="20" applyNumberFormat="1" applyFont="1" applyFill="1"/>
    <xf numFmtId="166" fontId="0" fillId="0" borderId="0" xfId="20" applyNumberFormat="1" applyFont="1" applyAlignment="1">
      <alignment horizontal="center"/>
    </xf>
    <xf numFmtId="166" fontId="0" fillId="0" borderId="0" xfId="20" applyNumberFormat="1" applyFont="1"/>
    <xf numFmtId="0" fontId="0" fillId="0" borderId="0" xfId="0" applyAlignment="1">
      <alignment vertical="top" wrapText="1"/>
    </xf>
    <xf numFmtId="0" fontId="3" fillId="0" borderId="0" xfId="0" applyFont="1" applyAlignment="1">
      <alignment vertical="top"/>
    </xf>
    <xf numFmtId="0" fontId="2" fillId="3" borderId="0" xfId="0" applyFont="1" applyFill="1" applyAlignment="1">
      <alignment horizontal="center" wrapText="1"/>
    </xf>
    <xf numFmtId="166" fontId="2" fillId="3" borderId="0" xfId="20" applyNumberFormat="1" applyFont="1" applyFill="1" applyAlignment="1">
      <alignment horizontal="center" wrapText="1"/>
    </xf>
    <xf numFmtId="164" fontId="2" fillId="3" borderId="0" xfId="20" applyFont="1" applyFill="1" applyAlignment="1">
      <alignment horizontal="center" wrapText="1"/>
    </xf>
    <xf numFmtId="167" fontId="0" fillId="0" borderId="0" xfId="20" applyNumberFormat="1" applyFont="1" applyAlignment="1">
      <alignment horizontal="center"/>
    </xf>
    <xf numFmtId="0" fontId="0" fillId="0" borderId="1" xfId="0" applyBorder="1"/>
    <xf numFmtId="0" fontId="0" fillId="0" borderId="2" xfId="0" applyBorder="1"/>
    <xf numFmtId="0" fontId="0" fillId="0" borderId="3" xfId="0" applyBorder="1"/>
    <xf numFmtId="0" fontId="3" fillId="0" borderId="2" xfId="0" applyFont="1" applyBorder="1" applyAlignment="1">
      <alignment horizontal="center"/>
    </xf>
    <xf numFmtId="0" fontId="3" fillId="0" borderId="3" xfId="0"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xf numFmtId="0" fontId="0" fillId="0" borderId="5" xfId="0" applyBorder="1" applyAlignment="1">
      <alignment horizontal="center"/>
    </xf>
    <xf numFmtId="0" fontId="0" fillId="0" borderId="6" xfId="0" applyBorder="1" applyAlignment="1">
      <alignment horizontal="center"/>
    </xf>
    <xf numFmtId="0" fontId="9" fillId="0" borderId="0" xfId="0" applyFont="1" applyProtection="1">
      <protection hidden="1"/>
    </xf>
    <xf numFmtId="0" fontId="10" fillId="0" borderId="0" xfId="0" applyFont="1" applyAlignment="1" applyProtection="1">
      <alignment horizontal="center"/>
      <protection hidden="1"/>
    </xf>
    <xf numFmtId="0" fontId="11" fillId="0" borderId="0" xfId="0" applyFont="1" applyProtection="1">
      <protection hidden="1"/>
    </xf>
    <xf numFmtId="0" fontId="11" fillId="0" borderId="7" xfId="0" applyFont="1" applyBorder="1" applyAlignment="1" applyProtection="1">
      <alignment vertical="center"/>
      <protection hidden="1"/>
    </xf>
    <xf numFmtId="0" fontId="11" fillId="0" borderId="0" xfId="0" applyFont="1" applyAlignment="1" applyProtection="1">
      <alignment vertical="top" wrapText="1"/>
      <protection hidden="1"/>
    </xf>
    <xf numFmtId="0" fontId="11" fillId="0" borderId="0" xfId="0" applyFont="1" applyAlignment="1" applyProtection="1">
      <alignment vertical="center"/>
      <protection hidden="1"/>
    </xf>
    <xf numFmtId="0" fontId="11" fillId="0" borderId="7" xfId="0" applyFont="1" applyBorder="1" applyAlignment="1" applyProtection="1">
      <alignment vertical="center" wrapText="1"/>
      <protection hidden="1"/>
    </xf>
    <xf numFmtId="0" fontId="12" fillId="0" borderId="7" xfId="0" applyFont="1" applyBorder="1" applyAlignment="1" applyProtection="1">
      <alignment vertical="center"/>
      <protection hidden="1"/>
    </xf>
    <xf numFmtId="0" fontId="12" fillId="0" borderId="8" xfId="21" applyNumberFormat="1" applyFont="1" applyFill="1" applyBorder="1" applyAlignment="1" applyProtection="1">
      <alignment horizontal="center" vertical="center"/>
      <protection hidden="1"/>
    </xf>
    <xf numFmtId="0" fontId="9" fillId="4" borderId="0" xfId="0" applyFont="1" applyFill="1" applyAlignment="1" applyProtection="1">
      <alignment vertical="center"/>
      <protection hidden="1"/>
    </xf>
    <xf numFmtId="0" fontId="8" fillId="4" borderId="0" xfId="0" applyFont="1" applyFill="1" applyAlignment="1" applyProtection="1">
      <alignment horizontal="center" vertical="center"/>
      <protection hidden="1"/>
    </xf>
    <xf numFmtId="0" fontId="11" fillId="0" borderId="9" xfId="0" applyFont="1" applyBorder="1" applyProtection="1">
      <protection hidden="1"/>
    </xf>
    <xf numFmtId="0" fontId="14" fillId="5" borderId="10" xfId="22" applyFont="1" applyFill="1" applyBorder="1" applyAlignment="1" applyProtection="1">
      <alignment horizontal="center" vertical="center" wrapText="1"/>
      <protection hidden="1"/>
    </xf>
    <xf numFmtId="0" fontId="11" fillId="6" borderId="8" xfId="0" applyFont="1" applyFill="1" applyBorder="1" applyAlignment="1" applyProtection="1">
      <alignment horizontal="center" vertical="center"/>
      <protection hidden="1" locked="0"/>
    </xf>
    <xf numFmtId="9" fontId="11" fillId="6" borderId="8" xfId="21" applyFont="1" applyFill="1" applyBorder="1" applyAlignment="1" applyProtection="1">
      <alignment horizontal="center" vertical="center"/>
      <protection hidden="1" locked="0"/>
    </xf>
    <xf numFmtId="0" fontId="11" fillId="6" borderId="8" xfId="21" applyNumberFormat="1" applyFont="1" applyFill="1" applyBorder="1" applyAlignment="1" applyProtection="1">
      <alignment horizontal="center" vertical="center"/>
      <protection hidden="1" locked="0"/>
    </xf>
    <xf numFmtId="0" fontId="17" fillId="0" borderId="0" xfId="0" applyFont="1" applyProtection="1">
      <protection hidden="1"/>
    </xf>
    <xf numFmtId="166" fontId="17" fillId="0" borderId="0" xfId="20" applyNumberFormat="1" applyFont="1" applyBorder="1" applyProtection="1">
      <protection hidden="1"/>
    </xf>
    <xf numFmtId="164" fontId="17" fillId="0" borderId="0" xfId="20" applyFont="1" applyBorder="1" applyProtection="1">
      <protection hidden="1"/>
    </xf>
    <xf numFmtId="1" fontId="17" fillId="0" borderId="0" xfId="0" applyNumberFormat="1" applyFont="1" applyAlignment="1" applyProtection="1">
      <alignment horizontal="center"/>
      <protection hidden="1"/>
    </xf>
    <xf numFmtId="0" fontId="18" fillId="7" borderId="0" xfId="0" applyFont="1" applyFill="1" applyAlignment="1" applyProtection="1">
      <alignment vertical="center"/>
      <protection hidden="1"/>
    </xf>
    <xf numFmtId="0" fontId="19" fillId="7" borderId="0" xfId="0" applyFont="1" applyFill="1" applyAlignment="1" applyProtection="1">
      <alignment wrapText="1"/>
      <protection hidden="1"/>
    </xf>
    <xf numFmtId="0" fontId="19" fillId="7" borderId="0" xfId="0" applyFont="1" applyFill="1" applyProtection="1">
      <protection hidden="1"/>
    </xf>
    <xf numFmtId="166" fontId="19" fillId="7" borderId="0" xfId="20" applyNumberFormat="1" applyFont="1" applyFill="1" applyBorder="1" applyProtection="1">
      <protection hidden="1"/>
    </xf>
    <xf numFmtId="164" fontId="19" fillId="7" borderId="0" xfId="20" applyFont="1" applyFill="1" applyBorder="1" applyProtection="1">
      <protection hidden="1"/>
    </xf>
    <xf numFmtId="1" fontId="19" fillId="7" borderId="0" xfId="0" applyNumberFormat="1" applyFont="1" applyFill="1" applyAlignment="1" applyProtection="1">
      <alignment horizontal="center"/>
      <protection hidden="1"/>
    </xf>
    <xf numFmtId="0" fontId="20" fillId="7" borderId="0" xfId="0" applyFont="1" applyFill="1" applyAlignment="1" applyProtection="1">
      <alignment horizontal="center" vertical="center" wrapText="1"/>
      <protection hidden="1"/>
    </xf>
    <xf numFmtId="166" fontId="20" fillId="7" borderId="0" xfId="20" applyNumberFormat="1" applyFont="1" applyFill="1" applyBorder="1" applyAlignment="1" applyProtection="1">
      <alignment horizontal="center" vertical="center" wrapText="1"/>
      <protection hidden="1"/>
    </xf>
    <xf numFmtId="164" fontId="20" fillId="7" borderId="0" xfId="20" applyFont="1" applyFill="1" applyBorder="1" applyAlignment="1" applyProtection="1">
      <alignment horizontal="center" vertical="center" wrapText="1"/>
      <protection hidden="1"/>
    </xf>
    <xf numFmtId="1" fontId="20" fillId="7" borderId="0" xfId="0" applyNumberFormat="1" applyFont="1" applyFill="1" applyAlignment="1" applyProtection="1">
      <alignment horizontal="center" vertical="center" wrapText="1"/>
      <protection hidden="1"/>
    </xf>
    <xf numFmtId="0" fontId="17" fillId="0" borderId="0" xfId="0" applyFont="1" applyAlignment="1" applyProtection="1">
      <alignment wrapText="1"/>
      <protection hidden="1"/>
    </xf>
    <xf numFmtId="0" fontId="22" fillId="2" borderId="0" xfId="0" applyFont="1" applyFill="1" applyAlignment="1" applyProtection="1">
      <alignment wrapText="1"/>
      <protection hidden="1"/>
    </xf>
    <xf numFmtId="166" fontId="22" fillId="2" borderId="0" xfId="20" applyNumberFormat="1" applyFont="1" applyFill="1" applyBorder="1" applyAlignment="1" applyProtection="1">
      <alignment wrapText="1"/>
      <protection hidden="1"/>
    </xf>
    <xf numFmtId="164" fontId="22" fillId="2" borderId="0" xfId="20" applyFont="1" applyFill="1" applyBorder="1" applyAlignment="1" applyProtection="1">
      <alignment wrapText="1"/>
      <protection hidden="1"/>
    </xf>
    <xf numFmtId="1" fontId="22" fillId="2" borderId="0" xfId="0" applyNumberFormat="1" applyFont="1" applyFill="1" applyAlignment="1" applyProtection="1">
      <alignment horizontal="center" wrapText="1"/>
      <protection hidden="1"/>
    </xf>
    <xf numFmtId="0" fontId="22" fillId="0" borderId="0" xfId="0" applyFont="1" applyAlignment="1" applyProtection="1">
      <alignment wrapText="1"/>
      <protection hidden="1"/>
    </xf>
    <xf numFmtId="166" fontId="22" fillId="0" borderId="0" xfId="20" applyNumberFormat="1" applyFont="1" applyFill="1" applyBorder="1" applyAlignment="1" applyProtection="1">
      <alignment wrapText="1"/>
      <protection hidden="1"/>
    </xf>
    <xf numFmtId="164" fontId="22" fillId="0" borderId="0" xfId="20" applyFont="1" applyFill="1" applyBorder="1" applyAlignment="1" applyProtection="1">
      <alignment wrapText="1"/>
      <protection hidden="1"/>
    </xf>
    <xf numFmtId="1" fontId="22" fillId="0" borderId="0" xfId="20" applyNumberFormat="1" applyFont="1" applyFill="1" applyBorder="1" applyAlignment="1" applyProtection="1">
      <alignment horizontal="center" wrapText="1"/>
      <protection hidden="1" locked="0"/>
    </xf>
    <xf numFmtId="164" fontId="22" fillId="2" borderId="0" xfId="0" applyNumberFormat="1" applyFont="1" applyFill="1" applyAlignment="1" applyProtection="1">
      <alignment wrapText="1"/>
      <protection hidden="1"/>
    </xf>
    <xf numFmtId="1" fontId="22" fillId="0" borderId="0" xfId="20" applyNumberFormat="1" applyFont="1" applyFill="1" applyBorder="1" applyAlignment="1" applyProtection="1">
      <alignment horizontal="center" wrapText="1"/>
      <protection hidden="1"/>
    </xf>
    <xf numFmtId="164" fontId="23" fillId="2" borderId="0" xfId="20" applyFont="1" applyFill="1" applyBorder="1" applyAlignment="1" applyProtection="1">
      <alignment horizontal="center" wrapText="1"/>
      <protection hidden="1"/>
    </xf>
    <xf numFmtId="0" fontId="22" fillId="0" borderId="0" xfId="0" applyFont="1" applyAlignment="1" applyProtection="1">
      <alignment wrapText="1"/>
      <protection hidden="1" locked="0"/>
    </xf>
    <xf numFmtId="0" fontId="17" fillId="0" borderId="11" xfId="0" applyFont="1" applyBorder="1" applyProtection="1">
      <protection hidden="1"/>
    </xf>
    <xf numFmtId="0" fontId="11" fillId="0" borderId="0" xfId="0" applyFont="1" applyAlignment="1" applyProtection="1">
      <alignment horizontal="center"/>
      <protection hidden="1"/>
    </xf>
    <xf numFmtId="0" fontId="11" fillId="0" borderId="0" xfId="0" applyFont="1" applyAlignment="1" applyProtection="1">
      <alignment wrapText="1"/>
      <protection hidden="1"/>
    </xf>
    <xf numFmtId="0" fontId="8" fillId="7" borderId="12" xfId="0" applyFont="1" applyFill="1" applyBorder="1" applyAlignment="1" applyProtection="1">
      <alignment horizontal="center" vertical="center"/>
      <protection hidden="1"/>
    </xf>
    <xf numFmtId="0" fontId="11" fillId="0" borderId="13" xfId="0" applyFont="1" applyBorder="1" applyProtection="1">
      <protection hidden="1"/>
    </xf>
    <xf numFmtId="0" fontId="25" fillId="7" borderId="14" xfId="0" applyFont="1" applyFill="1" applyBorder="1" applyAlignment="1" applyProtection="1">
      <alignment vertical="center"/>
      <protection hidden="1"/>
    </xf>
    <xf numFmtId="0" fontId="25" fillId="7" borderId="15" xfId="0" applyFont="1" applyFill="1" applyBorder="1" applyAlignment="1" applyProtection="1">
      <alignment horizontal="center" vertical="center" wrapText="1"/>
      <protection hidden="1"/>
    </xf>
    <xf numFmtId="0" fontId="25" fillId="7" borderId="16" xfId="0" applyFont="1" applyFill="1" applyBorder="1" applyAlignment="1" applyProtection="1">
      <alignment horizontal="center" vertical="center" wrapText="1"/>
      <protection hidden="1"/>
    </xf>
    <xf numFmtId="0" fontId="25" fillId="7" borderId="16" xfId="0" applyFont="1" applyFill="1" applyBorder="1" applyAlignment="1" applyProtection="1">
      <alignment horizontal="center" vertical="center"/>
      <protection hidden="1"/>
    </xf>
    <xf numFmtId="0" fontId="10" fillId="0" borderId="0" xfId="0" applyFont="1" applyAlignment="1" applyProtection="1">
      <alignment vertical="center"/>
      <protection hidden="1"/>
    </xf>
    <xf numFmtId="0" fontId="11" fillId="0" borderId="0" xfId="0" applyFont="1" applyProtection="1">
      <protection hidden="1" locked="0"/>
    </xf>
    <xf numFmtId="0" fontId="11" fillId="0" borderId="0" xfId="0" applyFont="1" applyAlignment="1" applyProtection="1">
      <alignment horizontal="center"/>
      <protection hidden="1" locked="0"/>
    </xf>
    <xf numFmtId="0" fontId="11" fillId="0" borderId="0" xfId="0" applyFont="1" applyAlignment="1" applyProtection="1">
      <alignment wrapText="1"/>
      <protection hidden="1" locked="0"/>
    </xf>
    <xf numFmtId="0" fontId="17" fillId="0" borderId="0" xfId="0" applyFont="1"/>
    <xf numFmtId="0" fontId="17" fillId="0" borderId="17" xfId="0" applyFont="1" applyBorder="1" applyAlignment="1" applyProtection="1">
      <alignment horizontal="center"/>
      <protection hidden="1"/>
    </xf>
    <xf numFmtId="0" fontId="17" fillId="0" borderId="3" xfId="0" applyFont="1" applyBorder="1" applyAlignment="1" applyProtection="1">
      <alignment horizontal="center"/>
      <protection hidden="1"/>
    </xf>
    <xf numFmtId="0" fontId="17" fillId="0" borderId="6" xfId="0" applyFont="1" applyBorder="1" applyAlignment="1" applyProtection="1">
      <alignment horizontal="center"/>
      <protection hidden="1"/>
    </xf>
    <xf numFmtId="0" fontId="30" fillId="0" borderId="0" xfId="0" applyFont="1" applyAlignment="1" applyProtection="1">
      <alignment vertical="center"/>
      <protection hidden="1"/>
    </xf>
    <xf numFmtId="0" fontId="31" fillId="7" borderId="0" xfId="0" applyFont="1" applyFill="1" applyAlignment="1" applyProtection="1">
      <alignment vertical="center" wrapText="1"/>
      <protection hidden="1"/>
    </xf>
    <xf numFmtId="0" fontId="31" fillId="7" borderId="0" xfId="0" applyFont="1" applyFill="1" applyAlignment="1" applyProtection="1">
      <alignment vertical="center"/>
      <protection hidden="1"/>
    </xf>
    <xf numFmtId="1" fontId="31" fillId="7" borderId="0" xfId="0" applyNumberFormat="1" applyFont="1" applyFill="1" applyAlignment="1" applyProtection="1">
      <alignment horizontal="center" vertical="center"/>
      <protection hidden="1"/>
    </xf>
    <xf numFmtId="0" fontId="0" fillId="0" borderId="0" xfId="0" applyProtection="1">
      <protection hidden="1" locked="0"/>
    </xf>
    <xf numFmtId="0" fontId="17" fillId="0" borderId="18" xfId="0" applyFont="1" applyBorder="1" applyAlignment="1" applyProtection="1">
      <alignment horizontal="left"/>
      <protection hidden="1"/>
    </xf>
    <xf numFmtId="0" fontId="17" fillId="0" borderId="1" xfId="0" applyFont="1" applyBorder="1" applyAlignment="1" applyProtection="1">
      <alignment horizontal="left"/>
      <protection hidden="1"/>
    </xf>
    <xf numFmtId="0" fontId="17" fillId="0" borderId="4" xfId="0" applyFont="1" applyBorder="1" applyAlignment="1" applyProtection="1">
      <alignment horizontal="left"/>
      <protection hidden="1"/>
    </xf>
    <xf numFmtId="1" fontId="26" fillId="6" borderId="6" xfId="0" applyNumberFormat="1" applyFont="1" applyFill="1" applyBorder="1" applyAlignment="1" applyProtection="1">
      <alignment horizontal="center"/>
      <protection hidden="1" locked="0"/>
    </xf>
    <xf numFmtId="0" fontId="22" fillId="0" borderId="0" xfId="0" applyFont="1" applyAlignment="1" applyProtection="1">
      <alignment vertical="center" wrapText="1"/>
      <protection hidden="1"/>
    </xf>
    <xf numFmtId="0" fontId="17" fillId="6" borderId="3" xfId="0" applyFont="1" applyFill="1" applyBorder="1" applyAlignment="1" applyProtection="1">
      <alignment horizontal="center"/>
      <protection hidden="1" locked="0"/>
    </xf>
    <xf numFmtId="0" fontId="22" fillId="2" borderId="0" xfId="0" applyFont="1" applyFill="1" applyAlignment="1" applyProtection="1">
      <alignment vertical="center" wrapText="1"/>
      <protection hidden="1"/>
    </xf>
    <xf numFmtId="1" fontId="22" fillId="2" borderId="0" xfId="0" applyNumberFormat="1" applyFont="1" applyFill="1" applyAlignment="1" applyProtection="1">
      <alignment horizontal="center" vertical="center" wrapText="1"/>
      <protection hidden="1"/>
    </xf>
    <xf numFmtId="1" fontId="22" fillId="0" borderId="0" xfId="20" applyNumberFormat="1" applyFont="1" applyFill="1" applyBorder="1" applyAlignment="1" applyProtection="1">
      <alignment horizontal="center" vertical="center" wrapText="1"/>
      <protection hidden="1"/>
    </xf>
    <xf numFmtId="1" fontId="22" fillId="0" borderId="0" xfId="20" applyNumberFormat="1" applyFont="1" applyFill="1" applyBorder="1" applyAlignment="1" applyProtection="1">
      <alignment horizontal="center" vertical="center" wrapText="1"/>
      <protection hidden="1" locked="0"/>
    </xf>
    <xf numFmtId="0" fontId="3" fillId="0" borderId="0" xfId="0" applyFont="1" applyAlignment="1">
      <alignment horizontal="center"/>
    </xf>
    <xf numFmtId="0" fontId="20" fillId="7" borderId="0" xfId="0" applyFont="1" applyFill="1" applyAlignment="1" applyProtection="1">
      <alignment horizontal="left" vertical="center" wrapText="1"/>
      <protection hidden="1"/>
    </xf>
    <xf numFmtId="0" fontId="20" fillId="7" borderId="0" xfId="20" applyNumberFormat="1" applyFont="1" applyFill="1" applyBorder="1" applyAlignment="1" applyProtection="1">
      <alignment horizontal="center" vertical="center" wrapText="1"/>
      <protection hidden="1"/>
    </xf>
    <xf numFmtId="164" fontId="31" fillId="7" borderId="0" xfId="20" applyFont="1" applyFill="1" applyBorder="1" applyAlignment="1" applyProtection="1">
      <alignment vertical="center"/>
      <protection hidden="1"/>
    </xf>
    <xf numFmtId="0" fontId="17" fillId="0" borderId="0" xfId="0" applyFont="1" applyAlignment="1" applyProtection="1">
      <alignment horizontal="center"/>
      <protection hidden="1"/>
    </xf>
    <xf numFmtId="0" fontId="32" fillId="8" borderId="0" xfId="0" applyFont="1" applyFill="1" applyAlignment="1" applyProtection="1">
      <alignment horizontal="center" vertical="center" wrapText="1"/>
      <protection hidden="1"/>
    </xf>
    <xf numFmtId="166" fontId="32" fillId="8" borderId="0" xfId="20" applyNumberFormat="1" applyFont="1" applyFill="1" applyBorder="1" applyAlignment="1" applyProtection="1">
      <alignment horizontal="center" vertical="center" wrapText="1"/>
      <protection hidden="1"/>
    </xf>
    <xf numFmtId="164" fontId="32" fillId="8" borderId="0" xfId="20" applyFont="1" applyFill="1" applyBorder="1" applyAlignment="1" applyProtection="1">
      <alignment horizontal="center" vertical="center" wrapText="1"/>
      <protection hidden="1"/>
    </xf>
    <xf numFmtId="1" fontId="32" fillId="8" borderId="0" xfId="0" applyNumberFormat="1" applyFont="1" applyFill="1" applyAlignment="1" applyProtection="1">
      <alignment horizontal="center" vertical="center" wrapText="1"/>
      <protection hidden="1"/>
    </xf>
    <xf numFmtId="0" fontId="32" fillId="9" borderId="0" xfId="0" applyFont="1" applyFill="1" applyAlignment="1" applyProtection="1">
      <alignment horizontal="left" vertical="center" wrapText="1"/>
      <protection hidden="1"/>
    </xf>
    <xf numFmtId="0" fontId="33" fillId="2" borderId="0" xfId="0" applyFont="1" applyFill="1" applyAlignment="1" applyProtection="1">
      <alignment wrapText="1"/>
      <protection hidden="1"/>
    </xf>
    <xf numFmtId="166" fontId="33" fillId="2" borderId="0" xfId="20" applyNumberFormat="1" applyFont="1" applyFill="1" applyBorder="1" applyAlignment="1" applyProtection="1">
      <alignment wrapText="1"/>
      <protection hidden="1"/>
    </xf>
    <xf numFmtId="164" fontId="33" fillId="2" borderId="0" xfId="20" applyFont="1" applyFill="1" applyBorder="1" applyAlignment="1" applyProtection="1">
      <alignment wrapText="1"/>
      <protection hidden="1"/>
    </xf>
    <xf numFmtId="1" fontId="33" fillId="2" borderId="0" xfId="0" applyNumberFormat="1" applyFont="1" applyFill="1" applyAlignment="1" applyProtection="1">
      <alignment horizontal="center" wrapText="1"/>
      <protection hidden="1"/>
    </xf>
    <xf numFmtId="0" fontId="33" fillId="0" borderId="0" xfId="0" applyFont="1" applyAlignment="1" applyProtection="1">
      <alignment wrapText="1"/>
      <protection hidden="1"/>
    </xf>
    <xf numFmtId="166" fontId="33" fillId="0" borderId="0" xfId="20" applyNumberFormat="1" applyFont="1" applyFill="1" applyBorder="1" applyAlignment="1" applyProtection="1">
      <alignment wrapText="1"/>
      <protection hidden="1"/>
    </xf>
    <xf numFmtId="168" fontId="33" fillId="0" borderId="0" xfId="20" applyNumberFormat="1" applyFont="1" applyFill="1" applyBorder="1" applyAlignment="1" applyProtection="1">
      <alignment wrapText="1"/>
      <protection hidden="1"/>
    </xf>
    <xf numFmtId="1" fontId="33" fillId="0" borderId="0" xfId="20" applyNumberFormat="1" applyFont="1" applyFill="1" applyBorder="1" applyAlignment="1" applyProtection="1">
      <alignment horizontal="center" wrapText="1"/>
      <protection hidden="1"/>
    </xf>
    <xf numFmtId="164" fontId="33" fillId="0" borderId="0" xfId="20" applyFont="1" applyFill="1" applyBorder="1" applyAlignment="1" applyProtection="1">
      <alignment wrapText="1"/>
      <protection hidden="1"/>
    </xf>
    <xf numFmtId="164" fontId="34" fillId="0" borderId="0" xfId="20" applyFont="1"/>
    <xf numFmtId="0" fontId="33" fillId="0" borderId="0" xfId="0" applyFont="1" applyAlignment="1" applyProtection="1">
      <alignment horizontal="left"/>
      <protection hidden="1"/>
    </xf>
    <xf numFmtId="0" fontId="13" fillId="0" borderId="0" xfId="22" applyAlignment="1">
      <alignment horizontal="center"/>
    </xf>
    <xf numFmtId="169" fontId="0" fillId="0" borderId="0" xfId="20" applyNumberFormat="1" applyFont="1" applyAlignment="1">
      <alignment horizontal="center"/>
    </xf>
    <xf numFmtId="166" fontId="17" fillId="0" borderId="0" xfId="20" applyNumberFormat="1" applyFont="1" applyBorder="1" applyAlignment="1" applyProtection="1">
      <alignment horizontal="center"/>
      <protection hidden="1"/>
    </xf>
    <xf numFmtId="166" fontId="31" fillId="7" borderId="0" xfId="20" applyNumberFormat="1" applyFont="1" applyFill="1" applyBorder="1" applyAlignment="1" applyProtection="1">
      <alignment horizontal="center" vertical="center"/>
      <protection hidden="1"/>
    </xf>
    <xf numFmtId="166" fontId="22" fillId="2" borderId="0" xfId="20" applyNumberFormat="1" applyFont="1" applyFill="1" applyBorder="1" applyAlignment="1" applyProtection="1">
      <alignment horizontal="center" vertical="center" wrapText="1"/>
      <protection hidden="1"/>
    </xf>
    <xf numFmtId="166" fontId="22" fillId="0" borderId="0" xfId="20" applyNumberFormat="1" applyFont="1" applyFill="1" applyBorder="1" applyAlignment="1" applyProtection="1">
      <alignment horizontal="center" vertical="center" wrapText="1"/>
      <protection hidden="1"/>
    </xf>
    <xf numFmtId="0" fontId="22" fillId="2" borderId="0" xfId="0" applyFont="1" applyFill="1" applyAlignment="1" applyProtection="1">
      <alignment horizontal="center" vertical="center" wrapText="1"/>
      <protection hidden="1"/>
    </xf>
    <xf numFmtId="164" fontId="17" fillId="0" borderId="0" xfId="20" applyFont="1" applyBorder="1" applyAlignment="1" applyProtection="1">
      <alignment horizontal="center"/>
      <protection hidden="1"/>
    </xf>
    <xf numFmtId="164" fontId="31" fillId="7" borderId="0" xfId="20" applyFont="1" applyFill="1" applyBorder="1" applyAlignment="1" applyProtection="1">
      <alignment horizontal="center" vertical="center"/>
      <protection hidden="1"/>
    </xf>
    <xf numFmtId="164" fontId="22" fillId="2" borderId="0" xfId="20" applyFont="1" applyFill="1" applyBorder="1" applyAlignment="1" applyProtection="1">
      <alignment horizontal="center" vertical="center" wrapText="1"/>
      <protection hidden="1"/>
    </xf>
    <xf numFmtId="164" fontId="22" fillId="0" borderId="0" xfId="20" applyFont="1" applyFill="1" applyBorder="1" applyAlignment="1" applyProtection="1">
      <alignment horizontal="center" vertical="center" wrapText="1"/>
      <protection hidden="1"/>
    </xf>
    <xf numFmtId="164" fontId="22" fillId="2" borderId="0" xfId="0" applyNumberFormat="1" applyFont="1" applyFill="1" applyAlignment="1" applyProtection="1">
      <alignment horizontal="center" vertical="center" wrapText="1"/>
      <protection hidden="1"/>
    </xf>
    <xf numFmtId="166" fontId="22" fillId="2" borderId="0" xfId="20" applyNumberFormat="1" applyFont="1" applyFill="1" applyBorder="1" applyAlignment="1" applyProtection="1">
      <alignment horizontal="center" wrapText="1"/>
      <protection hidden="1"/>
    </xf>
    <xf numFmtId="166" fontId="22" fillId="0" borderId="0" xfId="20" applyNumberFormat="1" applyFont="1" applyFill="1" applyBorder="1" applyAlignment="1" applyProtection="1">
      <alignment horizontal="center" wrapText="1"/>
      <protection hidden="1"/>
    </xf>
    <xf numFmtId="166" fontId="33" fillId="0" borderId="0" xfId="23" applyNumberFormat="1" applyFont="1" applyFill="1" applyBorder="1" applyAlignment="1" applyProtection="1">
      <alignment wrapText="1"/>
      <protection hidden="1"/>
    </xf>
    <xf numFmtId="168" fontId="33" fillId="0" borderId="0" xfId="23" applyNumberFormat="1" applyFont="1" applyFill="1" applyBorder="1" applyAlignment="1" applyProtection="1">
      <alignment wrapText="1"/>
      <protection hidden="1"/>
    </xf>
    <xf numFmtId="44" fontId="33" fillId="0" borderId="0" xfId="23" applyFont="1" applyFill="1" applyBorder="1" applyAlignment="1" applyProtection="1">
      <alignment wrapText="1"/>
      <protection hidden="1"/>
    </xf>
    <xf numFmtId="44" fontId="34" fillId="0" borderId="0" xfId="23" applyFont="1"/>
    <xf numFmtId="0" fontId="33" fillId="10" borderId="0" xfId="0" applyFont="1" applyFill="1" applyAlignment="1">
      <alignment wrapText="1"/>
    </xf>
    <xf numFmtId="0" fontId="35" fillId="0" borderId="0" xfId="0" applyFont="1"/>
    <xf numFmtId="8" fontId="36" fillId="0" borderId="0" xfId="0" applyNumberFormat="1" applyFont="1"/>
    <xf numFmtId="0" fontId="33" fillId="0" borderId="0" xfId="0" applyFont="1" applyAlignment="1">
      <alignment wrapText="1"/>
    </xf>
    <xf numFmtId="0" fontId="33" fillId="5" borderId="0" xfId="0" applyFont="1" applyFill="1" applyAlignment="1">
      <alignment wrapText="1"/>
    </xf>
    <xf numFmtId="164" fontId="33" fillId="0" borderId="0" xfId="20" applyFont="1" applyAlignment="1" applyProtection="1">
      <alignment wrapText="1"/>
      <protection hidden="1"/>
    </xf>
    <xf numFmtId="164" fontId="33" fillId="0" borderId="0" xfId="23" applyNumberFormat="1" applyFont="1" applyFill="1" applyBorder="1" applyAlignment="1" applyProtection="1">
      <alignment wrapText="1"/>
      <protection hidden="1"/>
    </xf>
    <xf numFmtId="1" fontId="33" fillId="0" borderId="0" xfId="23" applyNumberFormat="1" applyFont="1" applyFill="1" applyBorder="1" applyAlignment="1" applyProtection="1">
      <alignment horizontal="center" wrapText="1"/>
      <protection hidden="1"/>
    </xf>
    <xf numFmtId="166" fontId="33" fillId="2" borderId="0" xfId="23" applyNumberFormat="1" applyFont="1" applyFill="1" applyBorder="1" applyAlignment="1" applyProtection="1">
      <alignment wrapText="1"/>
      <protection hidden="1"/>
    </xf>
    <xf numFmtId="44" fontId="33" fillId="2" borderId="0" xfId="23" applyFont="1" applyFill="1" applyBorder="1" applyAlignment="1" applyProtection="1">
      <alignment wrapText="1"/>
      <protection hidden="1"/>
    </xf>
    <xf numFmtId="164" fontId="36" fillId="0" borderId="0" xfId="20" applyFont="1"/>
    <xf numFmtId="0" fontId="8" fillId="4" borderId="0" xfId="0" applyFont="1" applyFill="1" applyAlignment="1" applyProtection="1">
      <alignment horizontal="center" vertical="center"/>
      <protection hidden="1"/>
    </xf>
    <xf numFmtId="0" fontId="11" fillId="0" borderId="19" xfId="0" applyFont="1" applyBorder="1" applyAlignment="1" applyProtection="1">
      <alignment horizontal="left" vertical="top" wrapText="1"/>
      <protection hidden="1"/>
    </xf>
    <xf numFmtId="0" fontId="11" fillId="0" borderId="20" xfId="0" applyFont="1" applyBorder="1" applyAlignment="1" applyProtection="1">
      <alignment horizontal="left" vertical="top" wrapText="1"/>
      <protection hidden="1"/>
    </xf>
    <xf numFmtId="0" fontId="11" fillId="0" borderId="21" xfId="0" applyFont="1" applyBorder="1" applyAlignment="1" applyProtection="1">
      <alignment horizontal="left" vertical="top" wrapText="1"/>
      <protection hidden="1"/>
    </xf>
    <xf numFmtId="0" fontId="12" fillId="5" borderId="22" xfId="0" applyFont="1" applyFill="1" applyBorder="1" applyAlignment="1" applyProtection="1">
      <alignment horizontal="left" vertical="center" wrapText="1"/>
      <protection hidden="1"/>
    </xf>
    <xf numFmtId="0" fontId="12" fillId="5" borderId="23" xfId="0" applyFont="1" applyFill="1" applyBorder="1" applyAlignment="1" applyProtection="1">
      <alignment horizontal="left" vertical="center" wrapText="1"/>
      <protection hidden="1"/>
    </xf>
    <xf numFmtId="0" fontId="12" fillId="5" borderId="24" xfId="0" applyFont="1" applyFill="1" applyBorder="1" applyAlignment="1" applyProtection="1">
      <alignment horizontal="left" vertical="center" wrapText="1"/>
      <protection hidden="1"/>
    </xf>
    <xf numFmtId="0" fontId="27" fillId="0" borderId="25" xfId="0" applyFont="1" applyBorder="1" applyAlignment="1" applyProtection="1">
      <alignment horizontal="center" vertical="center" wrapText="1"/>
      <protection hidden="1"/>
    </xf>
    <xf numFmtId="0" fontId="27" fillId="0" borderId="6" xfId="0" applyFont="1" applyBorder="1" applyAlignment="1" applyProtection="1">
      <alignment horizontal="center" vertical="center" wrapText="1"/>
      <protection hidden="1"/>
    </xf>
    <xf numFmtId="0" fontId="28" fillId="0" borderId="26" xfId="0" applyFont="1" applyBorder="1" applyAlignment="1" applyProtection="1">
      <alignment horizontal="left"/>
      <protection hidden="1"/>
    </xf>
    <xf numFmtId="0" fontId="28" fillId="0" borderId="27" xfId="0" applyFont="1" applyBorder="1" applyAlignment="1" applyProtection="1">
      <alignment horizontal="left"/>
      <protection hidden="1"/>
    </xf>
    <xf numFmtId="0" fontId="12" fillId="0" borderId="0" xfId="0" applyFont="1" applyAlignment="1" applyProtection="1" quotePrefix="1">
      <alignment horizontal="left" vertical="center" wrapText="1"/>
      <protection hidden="1" locked="0"/>
    </xf>
    <xf numFmtId="164" fontId="18" fillId="7" borderId="28" xfId="20" applyFont="1" applyFill="1" applyBorder="1" applyAlignment="1" applyProtection="1">
      <alignment horizontal="center"/>
      <protection hidden="1"/>
    </xf>
    <xf numFmtId="164" fontId="18" fillId="7" borderId="29" xfId="20" applyFont="1" applyFill="1" applyBorder="1" applyAlignment="1" applyProtection="1">
      <alignment horizontal="center"/>
      <protection hidden="1"/>
    </xf>
    <xf numFmtId="164" fontId="24" fillId="0" borderId="0" xfId="20" applyFont="1" applyBorder="1" applyAlignment="1" applyProtection="1">
      <alignment horizontal="right"/>
      <protection hidden="1"/>
    </xf>
    <xf numFmtId="164" fontId="18" fillId="7" borderId="11" xfId="20" applyFont="1" applyFill="1" applyBorder="1" applyAlignment="1" applyProtection="1">
      <alignment horizontal="center"/>
      <protection hidden="1"/>
    </xf>
    <xf numFmtId="0" fontId="17" fillId="0" borderId="0" xfId="0" applyFont="1" applyAlignment="1" applyProtection="1">
      <alignment horizontal="center"/>
      <protection hidden="1"/>
    </xf>
    <xf numFmtId="164" fontId="18" fillId="7" borderId="0" xfId="20" applyFont="1" applyFill="1" applyBorder="1" applyAlignment="1" applyProtection="1">
      <alignment horizontal="center"/>
      <protection hidden="1"/>
    </xf>
    <xf numFmtId="0" fontId="22" fillId="2" borderId="0" xfId="0" applyFont="1" applyFill="1" applyAlignment="1" applyProtection="1">
      <alignment horizontal="left" wrapText="1"/>
      <protection hidden="1"/>
    </xf>
    <xf numFmtId="0" fontId="21" fillId="9" borderId="0" xfId="0" applyFont="1" applyFill="1" applyAlignment="1" applyProtection="1">
      <alignment horizontal="left" vertical="center" wrapText="1"/>
      <protection hidden="1"/>
    </xf>
    <xf numFmtId="0" fontId="29" fillId="0" borderId="0" xfId="0" applyFont="1" applyAlignment="1" applyProtection="1">
      <alignment horizontal="left" vertical="top" wrapText="1"/>
      <protection hidden="1"/>
    </xf>
    <xf numFmtId="0" fontId="17" fillId="0" borderId="0" xfId="0" applyFont="1" applyAlignment="1" applyProtection="1">
      <alignment/>
      <protection hidden="1"/>
    </xf>
    <xf numFmtId="166" fontId="17" fillId="0" borderId="0" xfId="20" applyNumberFormat="1" applyFont="1" applyBorder="1" applyAlignment="1" applyProtection="1">
      <alignment horizontal="center"/>
      <protection hidden="1"/>
    </xf>
    <xf numFmtId="164" fontId="17" fillId="0" borderId="0" xfId="20" applyFont="1" applyBorder="1" applyAlignment="1" applyProtection="1">
      <alignment horizontal="center"/>
      <protection hidden="1"/>
    </xf>
    <xf numFmtId="1" fontId="17" fillId="0" borderId="0" xfId="0" applyNumberFormat="1" applyFont="1" applyAlignment="1" applyProtection="1">
      <alignment horizontal="center"/>
      <protection hidden="1"/>
    </xf>
    <xf numFmtId="0" fontId="33" fillId="0" borderId="0" xfId="0" applyFont="1" applyAlignment="1" applyProtection="1">
      <alignment horizontal="center" wrapText="1"/>
      <protection hidden="1"/>
    </xf>
    <xf numFmtId="0" fontId="3" fillId="0" borderId="0" xfId="0" applyFont="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0" fontId="3" fillId="0" borderId="32" xfId="0" applyFont="1" applyBorder="1" applyAlignment="1">
      <alignment horizontal="center"/>
    </xf>
  </cellXfs>
  <cellStyles count="19">
    <cellStyle name="Normal" xfId="0"/>
    <cellStyle name="Percent" xfId="15"/>
    <cellStyle name="Currency" xfId="16"/>
    <cellStyle name="Currency [0]" xfId="17"/>
    <cellStyle name="Comma" xfId="18"/>
    <cellStyle name="Comma [0]" xfId="19"/>
    <cellStyle name="Monétaire" xfId="20"/>
    <cellStyle name="Pourcentage" xfId="21"/>
    <cellStyle name="Lien hypertexte" xfId="22"/>
    <cellStyle name="Monétaire 2" xfId="23"/>
    <cellStyle name="Monétaire 3" xfId="24"/>
    <cellStyle name="Monétaire 5" xfId="25"/>
    <cellStyle name="Monétaire 3 3" xfId="26"/>
    <cellStyle name="Monétaire 2 3" xfId="27"/>
    <cellStyle name="Monétaire 4" xfId="28"/>
    <cellStyle name="Monétaire 2 2" xfId="29"/>
    <cellStyle name="Monétaire 3 2" xfId="30"/>
    <cellStyle name="Monétaire 6" xfId="31"/>
    <cellStyle name="Currency 2" xfId="32"/>
  </cellStyles>
  <dxfs count="9">
    <dxf>
      <numFmt numFmtId="177" formatCode="#,##0.00\ [$CAD]"/>
    </dxf>
    <dxf>
      <numFmt numFmtId="178" formatCode="#,##0.00\ [$USD]"/>
    </dxf>
    <dxf>
      <numFmt numFmtId="177" formatCode="#,##0.00\ [$CAD]"/>
    </dxf>
    <dxf>
      <numFmt numFmtId="178" formatCode="#,##0.00\ [$USD]"/>
    </dxf>
    <dxf>
      <numFmt numFmtId="177" formatCode="#,##0.00\ [$CAD]"/>
    </dxf>
    <dxf>
      <numFmt numFmtId="178" formatCode="#,##0.00\ [$USD]"/>
    </dxf>
    <dxf>
      <numFmt numFmtId="177" formatCode="#,##0.00\ [$CAD]"/>
    </dxf>
    <dxf>
      <numFmt numFmtId="178" formatCode="#,##0.00\ [$USD]"/>
    </dxf>
    <dxf>
      <fill>
        <patternFill>
          <bgColor theme="0" tint="-0.24993999302387238"/>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customXml" Target="../customXml/item1.xml" /><Relationship Id="rId15" Type="http://schemas.openxmlformats.org/officeDocument/2006/relationships/customXml" Target="../customXml/item2.xml" /><Relationship Id="rId16" Type="http://schemas.openxmlformats.org/officeDocument/2006/relationships/customXml" Target="../customXml/item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sv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sv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sv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sv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sv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66675</xdr:rowOff>
    </xdr:from>
    <xdr:to>
      <xdr:col>1</xdr:col>
      <xdr:colOff>1543050</xdr:colOff>
      <xdr:row>1</xdr:row>
      <xdr:rowOff>323850</xdr:rowOff>
    </xdr:to>
    <xdr:pic>
      <xdr:nvPicPr>
        <xdr:cNvPr id="2" name="Picture 1"/>
        <xdr:cNvPicPr preferRelativeResize="1">
          <a:picLocks noChangeAspect="1"/>
        </xdr:cNvPicPr>
      </xdr:nvPicPr>
      <xdr:blipFill>
        <a:blip r:embed="rId1"/>
        <a:stretch>
          <a:fillRect/>
        </a:stretch>
      </xdr:blipFill>
      <xdr:spPr>
        <a:xfrm>
          <a:off x="219075" y="238125"/>
          <a:ext cx="1543050" cy="257175"/>
        </a:xfrm>
        <a:prstGeom prst="rect">
          <a:avLst/>
        </a:prstGeom>
        <a:ln>
          <a:noFill/>
        </a:ln>
      </xdr:spPr>
    </xdr:pic>
    <xdr:clientData/>
  </xdr:twoCellAnchor>
  <xdr:twoCellAnchor editAs="oneCell">
    <xdr:from>
      <xdr:col>1</xdr:col>
      <xdr:colOff>1752600</xdr:colOff>
      <xdr:row>0</xdr:row>
      <xdr:rowOff>171450</xdr:rowOff>
    </xdr:from>
    <xdr:to>
      <xdr:col>4</xdr:col>
      <xdr:colOff>1314450</xdr:colOff>
      <xdr:row>2</xdr:row>
      <xdr:rowOff>0</xdr:rowOff>
    </xdr:to>
    <xdr:pic>
      <xdr:nvPicPr>
        <xdr:cNvPr id="3" name="Graphic 2"/>
        <xdr:cNvPicPr preferRelativeResize="1">
          <a:picLocks noChangeAspect="1"/>
        </xdr:cNvPicPr>
      </xdr:nvPicPr>
      <xdr:blipFill>
        <a:blip r:embed="rId2">
          <a:extLst>
            <a:ext uri="{96DAC541-7B7A-43D3-8B79-37D633B846F1}">
              <asvg:svgBlip xmlns:asvg="http://schemas.microsoft.com/office/drawing/2016/SVG/main" xmlns:r="http://schemas.openxmlformats.org/officeDocument/2006/relationships" r:embed="rId3"/>
            </a:ext>
          </a:extLst>
        </a:blip>
        <a:stretch>
          <a:fillRect/>
        </a:stretch>
      </xdr:blipFill>
      <xdr:spPr>
        <a:xfrm>
          <a:off x="1971675" y="171450"/>
          <a:ext cx="2609850" cy="5810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85725</xdr:rowOff>
    </xdr:from>
    <xdr:to>
      <xdr:col>1</xdr:col>
      <xdr:colOff>1581150</xdr:colOff>
      <xdr:row>0</xdr:row>
      <xdr:rowOff>361950</xdr:rowOff>
    </xdr:to>
    <xdr:pic>
      <xdr:nvPicPr>
        <xdr:cNvPr id="2" name="Picture 1"/>
        <xdr:cNvPicPr preferRelativeResize="1">
          <a:picLocks noChangeAspect="1"/>
        </xdr:cNvPicPr>
      </xdr:nvPicPr>
      <xdr:blipFill>
        <a:blip r:embed="rId1"/>
        <a:stretch>
          <a:fillRect/>
        </a:stretch>
      </xdr:blipFill>
      <xdr:spPr>
        <a:xfrm>
          <a:off x="228600" y="85725"/>
          <a:ext cx="1571625" cy="276225"/>
        </a:xfrm>
        <a:prstGeom prst="rect">
          <a:avLst/>
        </a:prstGeom>
        <a:ln>
          <a:noFill/>
        </a:ln>
      </xdr:spPr>
    </xdr:pic>
    <xdr:clientData/>
  </xdr:twoCellAnchor>
  <xdr:twoCellAnchor editAs="oneCell">
    <xdr:from>
      <xdr:col>2</xdr:col>
      <xdr:colOff>133350</xdr:colOff>
      <xdr:row>0</xdr:row>
      <xdr:rowOff>19050</xdr:rowOff>
    </xdr:from>
    <xdr:to>
      <xdr:col>7</xdr:col>
      <xdr:colOff>228600</xdr:colOff>
      <xdr:row>0</xdr:row>
      <xdr:rowOff>438150</xdr:rowOff>
    </xdr:to>
    <xdr:pic>
      <xdr:nvPicPr>
        <xdr:cNvPr id="3" name="Graphic 2"/>
        <xdr:cNvPicPr preferRelativeResize="1">
          <a:picLocks noChangeAspect="1"/>
        </xdr:cNvPicPr>
      </xdr:nvPicPr>
      <xdr:blipFill>
        <a:blip r:embed="rId2">
          <a:extLst>
            <a:ext uri="{96DAC541-7B7A-43D3-8B79-37D633B846F1}">
              <asvg:svgBlip xmlns:asvg="http://schemas.microsoft.com/office/drawing/2016/SVG/main" xmlns:r="http://schemas.openxmlformats.org/officeDocument/2006/relationships" r:embed="rId3"/>
            </a:ext>
          </a:extLst>
        </a:blip>
        <a:stretch>
          <a:fillRect/>
        </a:stretch>
      </xdr:blipFill>
      <xdr:spPr>
        <a:xfrm>
          <a:off x="1962150" y="19050"/>
          <a:ext cx="2562225" cy="4191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95250</xdr:rowOff>
    </xdr:from>
    <xdr:to>
      <xdr:col>1</xdr:col>
      <xdr:colOff>1543050</xdr:colOff>
      <xdr:row>0</xdr:row>
      <xdr:rowOff>400050</xdr:rowOff>
    </xdr:to>
    <xdr:pic>
      <xdr:nvPicPr>
        <xdr:cNvPr id="2" name="Picture 1"/>
        <xdr:cNvPicPr preferRelativeResize="1">
          <a:picLocks noChangeAspect="1"/>
        </xdr:cNvPicPr>
      </xdr:nvPicPr>
      <xdr:blipFill>
        <a:blip r:embed="rId1"/>
        <a:stretch>
          <a:fillRect/>
        </a:stretch>
      </xdr:blipFill>
      <xdr:spPr>
        <a:xfrm>
          <a:off x="228600" y="95250"/>
          <a:ext cx="1533525" cy="304800"/>
        </a:xfrm>
        <a:prstGeom prst="rect">
          <a:avLst/>
        </a:prstGeom>
        <a:ln>
          <a:noFill/>
        </a:ln>
      </xdr:spPr>
    </xdr:pic>
    <xdr:clientData/>
  </xdr:twoCellAnchor>
  <xdr:twoCellAnchor editAs="oneCell">
    <xdr:from>
      <xdr:col>1</xdr:col>
      <xdr:colOff>1895475</xdr:colOff>
      <xdr:row>0</xdr:row>
      <xdr:rowOff>38100</xdr:rowOff>
    </xdr:from>
    <xdr:to>
      <xdr:col>2</xdr:col>
      <xdr:colOff>1123950</xdr:colOff>
      <xdr:row>0</xdr:row>
      <xdr:rowOff>457200</xdr:rowOff>
    </xdr:to>
    <xdr:pic>
      <xdr:nvPicPr>
        <xdr:cNvPr id="3" name="Graphic 2"/>
        <xdr:cNvPicPr preferRelativeResize="1">
          <a:picLocks noChangeAspect="1"/>
        </xdr:cNvPicPr>
      </xdr:nvPicPr>
      <xdr:blipFill>
        <a:blip r:embed="rId2">
          <a:extLst>
            <a:ext uri="{96DAC541-7B7A-43D3-8B79-37D633B846F1}">
              <asvg:svgBlip xmlns:asvg="http://schemas.microsoft.com/office/drawing/2016/SVG/main" xmlns:r="http://schemas.openxmlformats.org/officeDocument/2006/relationships" r:embed="rId3"/>
            </a:ext>
          </a:extLst>
        </a:blip>
        <a:stretch>
          <a:fillRect/>
        </a:stretch>
      </xdr:blipFill>
      <xdr:spPr>
        <a:xfrm>
          <a:off x="2114550" y="38100"/>
          <a:ext cx="2447925" cy="4191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57150</xdr:rowOff>
    </xdr:from>
    <xdr:to>
      <xdr:col>1</xdr:col>
      <xdr:colOff>1543050</xdr:colOff>
      <xdr:row>0</xdr:row>
      <xdr:rowOff>361950</xdr:rowOff>
    </xdr:to>
    <xdr:pic>
      <xdr:nvPicPr>
        <xdr:cNvPr id="2" name="Picture 1"/>
        <xdr:cNvPicPr preferRelativeResize="1">
          <a:picLocks noChangeAspect="1"/>
        </xdr:cNvPicPr>
      </xdr:nvPicPr>
      <xdr:blipFill>
        <a:blip r:embed="rId1"/>
        <a:stretch>
          <a:fillRect/>
        </a:stretch>
      </xdr:blipFill>
      <xdr:spPr>
        <a:xfrm>
          <a:off x="219075" y="57150"/>
          <a:ext cx="1543050" cy="304800"/>
        </a:xfrm>
        <a:prstGeom prst="rect">
          <a:avLst/>
        </a:prstGeom>
        <a:ln>
          <a:noFill/>
        </a:ln>
      </xdr:spPr>
    </xdr:pic>
    <xdr:clientData/>
  </xdr:twoCellAnchor>
  <xdr:twoCellAnchor editAs="oneCell">
    <xdr:from>
      <xdr:col>1</xdr:col>
      <xdr:colOff>1885950</xdr:colOff>
      <xdr:row>0</xdr:row>
      <xdr:rowOff>0</xdr:rowOff>
    </xdr:from>
    <xdr:to>
      <xdr:col>2</xdr:col>
      <xdr:colOff>1695450</xdr:colOff>
      <xdr:row>0</xdr:row>
      <xdr:rowOff>419100</xdr:rowOff>
    </xdr:to>
    <xdr:pic>
      <xdr:nvPicPr>
        <xdr:cNvPr id="3" name="Graphic 2"/>
        <xdr:cNvPicPr preferRelativeResize="1">
          <a:picLocks noChangeAspect="1"/>
        </xdr:cNvPicPr>
      </xdr:nvPicPr>
      <xdr:blipFill>
        <a:blip r:embed="rId2">
          <a:extLst>
            <a:ext uri="{96DAC541-7B7A-43D3-8B79-37D633B846F1}">
              <asvg:svgBlip xmlns:asvg="http://schemas.microsoft.com/office/drawing/2016/SVG/main" xmlns:r="http://schemas.openxmlformats.org/officeDocument/2006/relationships" r:embed="rId3"/>
            </a:ext>
          </a:extLst>
        </a:blip>
        <a:stretch>
          <a:fillRect/>
        </a:stretch>
      </xdr:blipFill>
      <xdr:spPr>
        <a:xfrm>
          <a:off x="2105025" y="0"/>
          <a:ext cx="2466975" cy="4191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57150</xdr:rowOff>
    </xdr:from>
    <xdr:to>
      <xdr:col>1</xdr:col>
      <xdr:colOff>1543050</xdr:colOff>
      <xdr:row>0</xdr:row>
      <xdr:rowOff>400050</xdr:rowOff>
    </xdr:to>
    <xdr:pic>
      <xdr:nvPicPr>
        <xdr:cNvPr id="6" name="Picture 5"/>
        <xdr:cNvPicPr preferRelativeResize="1">
          <a:picLocks noChangeAspect="1"/>
        </xdr:cNvPicPr>
      </xdr:nvPicPr>
      <xdr:blipFill>
        <a:blip r:embed="rId1"/>
        <a:stretch>
          <a:fillRect/>
        </a:stretch>
      </xdr:blipFill>
      <xdr:spPr>
        <a:xfrm>
          <a:off x="228600" y="57150"/>
          <a:ext cx="1543050" cy="342900"/>
        </a:xfrm>
        <a:prstGeom prst="rect">
          <a:avLst/>
        </a:prstGeom>
        <a:ln>
          <a:noFill/>
        </a:ln>
      </xdr:spPr>
    </xdr:pic>
    <xdr:clientData/>
  </xdr:twoCellAnchor>
  <xdr:twoCellAnchor editAs="oneCell">
    <xdr:from>
      <xdr:col>1</xdr:col>
      <xdr:colOff>1885950</xdr:colOff>
      <xdr:row>0</xdr:row>
      <xdr:rowOff>0</xdr:rowOff>
    </xdr:from>
    <xdr:to>
      <xdr:col>2</xdr:col>
      <xdr:colOff>1695450</xdr:colOff>
      <xdr:row>0</xdr:row>
      <xdr:rowOff>457200</xdr:rowOff>
    </xdr:to>
    <xdr:pic>
      <xdr:nvPicPr>
        <xdr:cNvPr id="7" name="Graphic 6"/>
        <xdr:cNvPicPr preferRelativeResize="1">
          <a:picLocks noChangeAspect="1"/>
        </xdr:cNvPicPr>
      </xdr:nvPicPr>
      <xdr:blipFill>
        <a:blip r:embed="rId2">
          <a:extLst>
            <a:ext uri="{96DAC541-7B7A-43D3-8B79-37D633B846F1}">
              <asvg:svgBlip xmlns:asvg="http://schemas.microsoft.com/office/drawing/2016/SVG/main" xmlns:r="http://schemas.openxmlformats.org/officeDocument/2006/relationships" r:embed="rId3"/>
            </a:ext>
          </a:extLst>
        </a:blip>
        <a:stretch>
          <a:fillRect/>
        </a:stretch>
      </xdr:blipFill>
      <xdr:spPr>
        <a:xfrm>
          <a:off x="2114550" y="0"/>
          <a:ext cx="2457450" cy="4572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images.sherweb.com/toolbox/cloud-servers/cost_estimator.xls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iti.ca/fr/infrastructureservice-stockag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28"/>
  <sheetViews>
    <sheetView showGridLines="0" showRowColHeaders="0" workbookViewId="0" topLeftCell="A1">
      <selection activeCell="C20" sqref="C20"/>
    </sheetView>
  </sheetViews>
  <sheetFormatPr defaultColWidth="9.140625" defaultRowHeight="15"/>
  <cols>
    <col min="1" max="1" width="3.28125" style="32" customWidth="1"/>
    <col min="2" max="2" width="26.28125" style="32" customWidth="1"/>
    <col min="3" max="3" width="15.7109375" style="32" bestFit="1" customWidth="1"/>
    <col min="4" max="4" width="3.7109375" style="32" customWidth="1"/>
    <col min="5" max="5" width="79.00390625" style="32" customWidth="1"/>
    <col min="6" max="6" width="3.7109375" style="32" hidden="1" customWidth="1"/>
    <col min="7" max="7" width="86.140625" style="32" hidden="1" customWidth="1"/>
    <col min="8" max="8" width="9.140625" style="32" hidden="1" customWidth="1"/>
    <col min="9" max="16384" width="9.140625" style="32" customWidth="1"/>
  </cols>
  <sheetData>
    <row r="1" ht="13.5" thickBot="1"/>
    <row r="2" spans="7:8" ht="45.75" thickBot="1">
      <c r="G2" s="42" t="s">
        <v>0</v>
      </c>
      <c r="H2" s="41"/>
    </row>
    <row r="3" ht="12.75"/>
    <row r="4" spans="2:7" s="30" customFormat="1" ht="15.5">
      <c r="B4" s="155" t="s">
        <v>1</v>
      </c>
      <c r="C4" s="155"/>
      <c r="D4" s="39"/>
      <c r="E4" s="40" t="str">
        <f>IF($C$6="English","How to Use",IF($C$6="Français","Comment utiliser","#Error"))</f>
        <v>Comment utiliser</v>
      </c>
      <c r="F4" s="39"/>
      <c r="G4" s="40" t="str">
        <f>IF($C$6="English","Important Notes",IF($C$6="Français","Notes importantes","#Error"))</f>
        <v>Notes importantes</v>
      </c>
    </row>
    <row r="5" spans="2:5" ht="15" customHeight="1" thickBot="1">
      <c r="B5" s="31"/>
      <c r="C5" s="31"/>
      <c r="E5" s="31"/>
    </row>
    <row r="6" spans="2:10" ht="14.25" customHeight="1" thickBot="1">
      <c r="B6" s="33" t="s">
        <v>2</v>
      </c>
      <c r="C6" s="43" t="s">
        <v>3</v>
      </c>
      <c r="E6" s="156" t="str">
        <f>IF($C$6="English",Variables!$A$23,IF($C$6="Français",Variables!$A$24,"#Error"))</f>
        <v>1. Sélectionnez les bonnes valeurs dans les cellules "1. Info" (colonne B).
2. Dans la feuille "2. VM", entrez les spécifications de vos serveurs.
3. Dans la (les) feuille(s) Performance Cloud, ajustez les quantités selon votre besoin.
4. Masquez les rangées des services et plans non-utilisées.*
* Prenez note que les produits cachés comptent dans le coût total. Assurez-vous qu'ils sont à 0.</v>
      </c>
      <c r="G6" s="156" t="str">
        <f>IF($C$6="English",Variables!$A$27,IF($C$6="Français",Variables!$A$28,"#Error"))</f>
        <v>* Validité : Les devis sont valables pendant 30 jours et exclusivement pour la solution qui a été discutée.
* Ressources : Sherweb aidera le CLIENT à déterminer les ressources nécessaires à votre solution en fonction de notre expérience, de nos pratiques exemplaires et en s’appuyant sur les informations que vous nous fournissez. Sherweb ne peut être tenu responsable (légalement ou contractuellement) d’avoir mal estimé les ressources. Les ressources requises seront déterminées au cas par cas en tenant compte d’éléments tels que : l’utilisation réelle, le nombre de transactions, les composants utilisés dans vos applications, le nombre d’utilisateurs, etc. 
* Recommandations : Le CLIENT reconnaît que sa propre décision, action ou omission de dévier des pratiques exemplaires et des architectures recommandées peut entraîner des problèmes ou des erreurs plus tard lorsque des mises à jour ou des expansions sont nécessaires. Vous êtes responsable de faire votre propre preuve représentative de concept et de test. Sherweb ne fournit aucune garantie pour la solution proposée et facturera des frais de services professionnels pour toutes les demandes qui résultent de vos actions ou omissions, que la solution ait été fourni par Sherweb ou non.</v>
      </c>
      <c r="H6" s="34"/>
      <c r="I6" s="34"/>
      <c r="J6" s="34"/>
    </row>
    <row r="7" spans="2:10" ht="15.75" customHeight="1" thickBot="1">
      <c r="B7" s="35"/>
      <c r="C7" s="35"/>
      <c r="E7" s="157"/>
      <c r="G7" s="157"/>
      <c r="H7" s="34"/>
      <c r="I7" s="34"/>
      <c r="J7" s="34"/>
    </row>
    <row r="8" spans="2:10" ht="15.75" customHeight="1" thickBot="1">
      <c r="B8" s="33" t="str">
        <f>IF($C$6="English","Currency:",IF($C$6="Français","Devise:","#Error"))</f>
        <v>Devise:</v>
      </c>
      <c r="C8" s="43" t="s">
        <v>4</v>
      </c>
      <c r="E8" s="157"/>
      <c r="G8" s="157"/>
      <c r="H8" s="34"/>
      <c r="I8" s="34"/>
      <c r="J8" s="34"/>
    </row>
    <row r="9" spans="2:10" ht="15.75" customHeight="1" thickBot="1">
      <c r="B9" s="35"/>
      <c r="C9" s="35"/>
      <c r="E9" s="157"/>
      <c r="G9" s="157"/>
      <c r="H9" s="34"/>
      <c r="I9" s="34"/>
      <c r="J9" s="34"/>
    </row>
    <row r="10" spans="2:10" ht="14.25" customHeight="1" thickBot="1">
      <c r="B10" s="33" t="str">
        <f>IF($C$6="English","Datacenter:",IF($C$6="Français","Centre de données:","#Error"))</f>
        <v>Centre de données:</v>
      </c>
      <c r="C10" s="43" t="s">
        <v>5</v>
      </c>
      <c r="E10" s="157"/>
      <c r="G10" s="157"/>
      <c r="H10" s="34"/>
      <c r="I10" s="34"/>
      <c r="J10" s="34"/>
    </row>
    <row r="11" spans="2:10" ht="15.75" customHeight="1" hidden="1" thickBot="1">
      <c r="B11" s="35"/>
      <c r="C11" s="35"/>
      <c r="E11" s="157"/>
      <c r="G11" s="157"/>
      <c r="H11" s="34"/>
      <c r="I11" s="34"/>
      <c r="J11" s="34"/>
    </row>
    <row r="12" spans="2:10" ht="15.75" customHeight="1" hidden="1" thickBot="1">
      <c r="B12" s="36" t="str">
        <f>IF($C$6="English","Partner/Direct:",IF($C$6="Français","Partenaire/Vente directe:","#Error"))</f>
        <v>Partenaire/Vente directe:</v>
      </c>
      <c r="C12" s="44" t="s">
        <v>6</v>
      </c>
      <c r="E12" s="157"/>
      <c r="G12" s="157"/>
      <c r="H12" s="34"/>
      <c r="I12" s="34"/>
      <c r="J12" s="34"/>
    </row>
    <row r="13" spans="2:10" ht="15.75" customHeight="1" hidden="1" thickBot="1">
      <c r="B13" s="35"/>
      <c r="C13" s="35"/>
      <c r="E13" s="157"/>
      <c r="G13" s="157"/>
      <c r="H13" s="34"/>
      <c r="I13" s="34"/>
      <c r="J13" s="34"/>
    </row>
    <row r="14" spans="2:10" ht="15.75" customHeight="1" hidden="1" thickBot="1">
      <c r="B14" s="33" t="str">
        <f>IF($C$6="English","Partner Discount:",IF($C$6="Français","Escompte partenaire:","#Error"))</f>
        <v>Escompte partenaire:</v>
      </c>
      <c r="C14" s="44">
        <v>0</v>
      </c>
      <c r="E14" s="157"/>
      <c r="G14" s="157"/>
      <c r="H14" s="34"/>
      <c r="I14" s="34"/>
      <c r="J14" s="34"/>
    </row>
    <row r="15" spans="2:10" ht="15.75" customHeight="1" thickBot="1">
      <c r="B15" s="35"/>
      <c r="C15" s="35"/>
      <c r="E15" s="157"/>
      <c r="G15" s="157"/>
      <c r="H15" s="34"/>
      <c r="I15" s="34"/>
      <c r="J15" s="34"/>
    </row>
    <row r="16" spans="2:10" ht="15.75" customHeight="1" thickBot="1">
      <c r="B16" s="33" t="str">
        <f>IF($C$6="English","PC VMware Term (months):",IF($C$6="Français","Terme PC Vmware (mois):","#Error"))</f>
        <v>Terme PC Vmware (mois):</v>
      </c>
      <c r="C16" s="45" t="s">
        <v>7</v>
      </c>
      <c r="E16" s="157"/>
      <c r="G16" s="157"/>
      <c r="H16" s="34"/>
      <c r="I16" s="34"/>
      <c r="J16" s="34"/>
    </row>
    <row r="17" spans="5:10" ht="15" customHeight="1" thickBot="1">
      <c r="E17" s="157"/>
      <c r="G17" s="157"/>
      <c r="H17" s="34"/>
      <c r="I17" s="34"/>
      <c r="J17" s="34"/>
    </row>
    <row r="18" spans="2:10" ht="15.75" customHeight="1" hidden="1" thickBot="1">
      <c r="B18" s="33" t="str">
        <f>IF($C$6="English","Promo Code:",IF($C$6="Français","Code promotionnel:","#Error"))</f>
        <v>Code promotionnel:</v>
      </c>
      <c r="C18" s="44"/>
      <c r="E18" s="157"/>
      <c r="G18" s="157"/>
      <c r="H18" s="34"/>
      <c r="I18" s="34"/>
      <c r="J18" s="34"/>
    </row>
    <row r="19" spans="2:10" ht="15" customHeight="1" hidden="1" thickBot="1">
      <c r="B19" s="35"/>
      <c r="C19" s="35"/>
      <c r="E19" s="157"/>
      <c r="G19" s="157"/>
      <c r="H19" s="34"/>
      <c r="I19" s="34"/>
      <c r="J19" s="34"/>
    </row>
    <row r="20" spans="2:10" ht="15" customHeight="1" thickBot="1">
      <c r="B20" s="37" t="str">
        <f>IF($C$6="English","Document Version:",IF($C$6="Français","Version du document:","#Error"))</f>
        <v>Version du document:</v>
      </c>
      <c r="C20" s="38" t="s">
        <v>8</v>
      </c>
      <c r="E20" s="158"/>
      <c r="G20" s="158"/>
      <c r="H20" s="34"/>
      <c r="I20" s="34"/>
      <c r="J20" s="34"/>
    </row>
    <row r="21" spans="5:10" ht="15" customHeight="1">
      <c r="E21" s="34"/>
      <c r="G21" s="34"/>
      <c r="H21" s="34"/>
      <c r="I21" s="34"/>
      <c r="J21" s="34"/>
    </row>
    <row r="22" spans="5:10" ht="13.5" customHeight="1">
      <c r="E22" s="34"/>
      <c r="G22" s="34"/>
      <c r="H22" s="34"/>
      <c r="I22" s="34"/>
      <c r="J22" s="34"/>
    </row>
    <row r="23" spans="5:10" ht="13.5" customHeight="1">
      <c r="E23" s="34"/>
      <c r="G23" s="34"/>
      <c r="H23" s="34"/>
      <c r="I23" s="34"/>
      <c r="J23" s="34"/>
    </row>
    <row r="24" spans="5:10" ht="13.5" customHeight="1">
      <c r="E24" s="34"/>
      <c r="G24" s="34"/>
      <c r="H24" s="34"/>
      <c r="I24" s="34"/>
      <c r="J24" s="34"/>
    </row>
    <row r="25" spans="5:10" ht="13.5" customHeight="1">
      <c r="E25" s="34"/>
      <c r="G25" s="34"/>
      <c r="H25" s="34"/>
      <c r="I25" s="34"/>
      <c r="J25" s="34"/>
    </row>
    <row r="26" spans="5:7" ht="15">
      <c r="E26" s="34"/>
      <c r="G26" s="34"/>
    </row>
    <row r="27" spans="5:7" ht="15">
      <c r="E27" s="34"/>
      <c r="G27" s="34"/>
    </row>
    <row r="28" spans="5:7" ht="15">
      <c r="E28" s="34"/>
      <c r="G28" s="34"/>
    </row>
  </sheetData>
  <sheetProtection algorithmName="SHA-512" hashValue="k5O6hnTxaDcmxAOuuUULhDGe+aYC/k7g3YyLUUQmJKBXl50u5E6wXhspDfwSyWpAudfwMFCmghhGfF68g0FcEg==" saltValue="1qKwqA6lHYw16kI3L20h5w==" spinCount="100000" sheet="1" objects="1" scenarios="1"/>
  <mergeCells count="3">
    <mergeCell ref="B4:C4"/>
    <mergeCell ref="E6:E20"/>
    <mergeCell ref="G6:G20"/>
  </mergeCells>
  <conditionalFormatting sqref="C14">
    <cfRule type="expression" priority="3" dxfId="8">
      <formula>OR($C$12="Direct",$C$12="Vente_Directe")</formula>
    </cfRule>
  </conditionalFormatting>
  <dataValidations count="7">
    <dataValidation type="decimal" allowBlank="1" showInputMessage="1" showErrorMessage="1" error="Please enter a number between 0 and 100 / Veuillez entrer un nombre entre 0 et 100" sqref="C14">
      <formula1>0</formula1>
      <formula2>1</formula2>
    </dataValidation>
    <dataValidation type="list" allowBlank="1" showInputMessage="1" showErrorMessage="1" sqref="C12">
      <formula1>INDIRECT($C$6)</formula1>
    </dataValidation>
    <dataValidation allowBlank="1" showInputMessage="1" showErrorMessage="1" error="Please enter a number between 0 and 100 / Veuillez entrer un nombre entre 0 et 100" sqref="C18 C20"/>
    <dataValidation type="list" allowBlank="1" showInputMessage="1" showErrorMessage="1" error="Please select a language from the drop-down list / Veuillez sélectionner une langue de la liste déroulante" sqref="C6">
      <formula1>Variables!$A$4:$B$4</formula1>
    </dataValidation>
    <dataValidation type="list" allowBlank="1" showInputMessage="1" showErrorMessage="1" error="Please select a currency from the drop-down list / Veuillez sélectionner une devise de la liste déroulante" sqref="C8">
      <formula1>Variables!$A$15:$A$16</formula1>
    </dataValidation>
    <dataValidation type="list" allowBlank="1" showInputMessage="1" showErrorMessage="1" sqref="C10">
      <formula1>Variables!$A$9:$A$12</formula1>
    </dataValidation>
    <dataValidation type="list" allowBlank="1" showInputMessage="1" showErrorMessage="1" error="Please enter a number between 0 and 100 / Veuillez entrer un nombre entre 0 et 100" sqref="C16">
      <formula1>Variables!$A$31:$A$33</formula1>
    </dataValidation>
  </dataValidations>
  <hyperlinks>
    <hyperlink ref="G2" r:id="rId1" display="https://images.sherweb.com/toolbox/cloud-servers/cost_estimator.xlsx"/>
  </hyperlinks>
  <printOptions/>
  <pageMargins left="0.7" right="0.7" top="0.75" bottom="0.75" header="0.3" footer="0.3"/>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B3BDC-D2C8-4382-A0ED-D683EF3551FD}">
  <dimension ref="A1:H25"/>
  <sheetViews>
    <sheetView zoomScale="85" zoomScaleNormal="85" workbookViewId="0" topLeftCell="A1"/>
  </sheetViews>
  <sheetFormatPr defaultColWidth="9.140625" defaultRowHeight="15"/>
  <cols>
    <col min="1" max="1" width="49.00390625" style="0" bestFit="1" customWidth="1"/>
    <col min="2" max="2" width="75.28125" style="9" bestFit="1" customWidth="1"/>
    <col min="3" max="3" width="20.28125" style="0" bestFit="1" customWidth="1"/>
    <col min="4" max="4" width="20.140625" style="13" bestFit="1" customWidth="1"/>
    <col min="5" max="6" width="18.140625" style="5" bestFit="1" customWidth="1"/>
    <col min="7" max="7" width="4.421875" style="0" bestFit="1" customWidth="1"/>
    <col min="8" max="8" width="17.00390625" style="0" bestFit="1" customWidth="1"/>
  </cols>
  <sheetData>
    <row r="1" spans="1:8" s="16" customFormat="1" ht="29">
      <c r="A1" s="16" t="s">
        <v>13</v>
      </c>
      <c r="B1" s="16" t="s">
        <v>14</v>
      </c>
      <c r="C1" s="16" t="s">
        <v>15</v>
      </c>
      <c r="D1" s="17" t="s">
        <v>16</v>
      </c>
      <c r="E1" s="18" t="s">
        <v>402</v>
      </c>
      <c r="F1" s="18" t="s">
        <v>17</v>
      </c>
      <c r="G1" s="16" t="s">
        <v>18</v>
      </c>
      <c r="H1" s="16" t="s">
        <v>19</v>
      </c>
    </row>
    <row r="2" spans="1:6" s="6" customFormat="1" ht="15">
      <c r="A2" s="6" t="s">
        <v>403</v>
      </c>
      <c r="B2" s="8"/>
      <c r="D2" s="11"/>
      <c r="E2" s="7"/>
      <c r="F2" s="7"/>
    </row>
    <row r="3" spans="1:6" ht="15">
      <c r="A3" t="s">
        <v>364</v>
      </c>
      <c r="B3" t="s">
        <v>404</v>
      </c>
      <c r="C3" t="s">
        <v>405</v>
      </c>
      <c r="D3" s="2" t="s">
        <v>25</v>
      </c>
      <c r="E3" s="3">
        <f>F3*0.8</f>
        <v>11.056000000000001</v>
      </c>
      <c r="F3" s="3">
        <v>13.82</v>
      </c>
    </row>
    <row r="4" spans="1:6" ht="15">
      <c r="A4" t="s">
        <v>367</v>
      </c>
      <c r="B4" t="s">
        <v>406</v>
      </c>
      <c r="C4" t="s">
        <v>28</v>
      </c>
      <c r="D4" s="2" t="s">
        <v>25</v>
      </c>
      <c r="E4" s="3">
        <f aca="true" t="shared" si="0" ref="E4:E7">F4*0.8</f>
        <v>6.224</v>
      </c>
      <c r="F4" s="3">
        <v>7.78</v>
      </c>
    </row>
    <row r="5" spans="1:6" ht="15">
      <c r="A5" t="s">
        <v>407</v>
      </c>
      <c r="B5" t="s">
        <v>408</v>
      </c>
      <c r="C5" t="s">
        <v>28</v>
      </c>
      <c r="D5" s="2" t="s">
        <v>25</v>
      </c>
      <c r="E5" s="3">
        <f t="shared" si="0"/>
        <v>0.052000000000000005</v>
      </c>
      <c r="F5" s="127">
        <v>0.065</v>
      </c>
    </row>
    <row r="6" spans="1:6" ht="15">
      <c r="A6" t="s">
        <v>409</v>
      </c>
      <c r="B6" t="s">
        <v>410</v>
      </c>
      <c r="C6" t="s">
        <v>28</v>
      </c>
      <c r="D6" s="2" t="s">
        <v>25</v>
      </c>
      <c r="E6" s="3">
        <f t="shared" si="0"/>
        <v>0.00864</v>
      </c>
      <c r="F6" s="127">
        <v>0.0108</v>
      </c>
    </row>
    <row r="7" spans="1:6" ht="15">
      <c r="A7" t="s">
        <v>411</v>
      </c>
      <c r="B7" t="s">
        <v>412</v>
      </c>
      <c r="C7" t="s">
        <v>28</v>
      </c>
      <c r="D7" s="2" t="s">
        <v>25</v>
      </c>
      <c r="E7" s="3">
        <f t="shared" si="0"/>
        <v>0.01608</v>
      </c>
      <c r="F7" s="127">
        <f>0.0098+0.0103</f>
        <v>0.0201</v>
      </c>
    </row>
    <row r="8" spans="1:6" s="6" customFormat="1" ht="15">
      <c r="A8" s="6" t="s">
        <v>413</v>
      </c>
      <c r="B8" s="8"/>
      <c r="D8" s="11"/>
      <c r="E8" s="7"/>
      <c r="F8" s="7"/>
    </row>
    <row r="9" spans="1:8" ht="15">
      <c r="A9" t="s">
        <v>332</v>
      </c>
      <c r="B9" s="9" t="s">
        <v>414</v>
      </c>
      <c r="C9" t="s">
        <v>311</v>
      </c>
      <c r="D9" s="2" t="s">
        <v>300</v>
      </c>
      <c r="E9" s="2" t="s">
        <v>300</v>
      </c>
      <c r="F9" s="2" t="s">
        <v>300</v>
      </c>
      <c r="G9" s="4" t="s">
        <v>7</v>
      </c>
      <c r="H9" s="2" t="s">
        <v>300</v>
      </c>
    </row>
    <row r="10" spans="1:6" ht="15">
      <c r="A10" t="s">
        <v>378</v>
      </c>
      <c r="B10" t="s">
        <v>379</v>
      </c>
      <c r="C10" t="s">
        <v>311</v>
      </c>
      <c r="D10" s="2" t="s">
        <v>25</v>
      </c>
      <c r="E10" s="3">
        <f aca="true" t="shared" si="1" ref="E10">F10*0.8</f>
        <v>5.5200000000000005</v>
      </c>
      <c r="F10" s="3">
        <v>6.9</v>
      </c>
    </row>
    <row r="11" spans="1:6" s="6" customFormat="1" ht="15">
      <c r="A11" s="6" t="s">
        <v>415</v>
      </c>
      <c r="B11" s="8"/>
      <c r="D11" s="11"/>
      <c r="E11" s="7"/>
      <c r="F11" s="7"/>
    </row>
    <row r="12" spans="1:6" ht="15">
      <c r="A12" t="s">
        <v>381</v>
      </c>
      <c r="B12" t="s">
        <v>338</v>
      </c>
      <c r="C12" t="s">
        <v>272</v>
      </c>
      <c r="D12" s="2" t="s">
        <v>25</v>
      </c>
      <c r="E12" s="3">
        <v>0</v>
      </c>
      <c r="F12" s="3">
        <v>0</v>
      </c>
    </row>
    <row r="13" spans="1:6" ht="15">
      <c r="A13" t="s">
        <v>382</v>
      </c>
      <c r="B13" t="s">
        <v>340</v>
      </c>
      <c r="C13" t="s">
        <v>341</v>
      </c>
      <c r="D13" s="2" t="s">
        <v>25</v>
      </c>
      <c r="E13" s="3">
        <v>15</v>
      </c>
      <c r="F13" s="3">
        <v>18.5</v>
      </c>
    </row>
    <row r="14" spans="1:6" ht="15">
      <c r="A14" t="s">
        <v>383</v>
      </c>
      <c r="B14" t="s">
        <v>340</v>
      </c>
      <c r="C14" t="s">
        <v>341</v>
      </c>
      <c r="D14" s="2" t="s">
        <v>25</v>
      </c>
      <c r="E14" s="3">
        <v>204</v>
      </c>
      <c r="F14" s="3">
        <v>250</v>
      </c>
    </row>
    <row r="15" spans="1:6" ht="15">
      <c r="A15" t="s">
        <v>384</v>
      </c>
      <c r="B15" t="s">
        <v>340</v>
      </c>
      <c r="C15" t="s">
        <v>341</v>
      </c>
      <c r="D15" s="2" t="s">
        <v>25</v>
      </c>
      <c r="E15" s="3">
        <v>787</v>
      </c>
      <c r="F15" s="3">
        <v>950</v>
      </c>
    </row>
    <row r="16" spans="1:6" ht="15">
      <c r="A16" t="s">
        <v>334</v>
      </c>
      <c r="B16" t="s">
        <v>335</v>
      </c>
      <c r="C16" t="s">
        <v>322</v>
      </c>
      <c r="D16" s="2" t="s">
        <v>25</v>
      </c>
      <c r="E16" s="3">
        <v>10.55</v>
      </c>
      <c r="F16" s="3">
        <v>13.15</v>
      </c>
    </row>
    <row r="17" spans="1:6" s="6" customFormat="1" ht="15">
      <c r="A17" s="6" t="s">
        <v>416</v>
      </c>
      <c r="B17" s="8"/>
      <c r="D17" s="11"/>
      <c r="E17" s="7"/>
      <c r="F17" s="7"/>
    </row>
    <row r="18" spans="1:6" ht="15">
      <c r="A18" t="s">
        <v>323</v>
      </c>
      <c r="B18" t="s">
        <v>417</v>
      </c>
      <c r="C18" t="s">
        <v>418</v>
      </c>
      <c r="D18" s="2" t="s">
        <v>25</v>
      </c>
      <c r="E18" s="3">
        <v>5</v>
      </c>
      <c r="F18" s="3">
        <v>6.75</v>
      </c>
    </row>
    <row r="19" spans="1:6" ht="15">
      <c r="A19" t="s">
        <v>387</v>
      </c>
      <c r="B19" t="s">
        <v>419</v>
      </c>
      <c r="C19" t="s">
        <v>420</v>
      </c>
      <c r="D19" s="2" t="s">
        <v>25</v>
      </c>
      <c r="E19" s="3">
        <v>30.44</v>
      </c>
      <c r="F19" s="3">
        <v>33.59</v>
      </c>
    </row>
    <row r="20" spans="1:6" ht="15">
      <c r="A20" t="s">
        <v>390</v>
      </c>
      <c r="B20" t="s">
        <v>421</v>
      </c>
      <c r="C20" t="s">
        <v>420</v>
      </c>
      <c r="D20" s="2" t="s">
        <v>25</v>
      </c>
      <c r="E20" s="3">
        <v>60.46</v>
      </c>
      <c r="F20" s="3">
        <v>66.64</v>
      </c>
    </row>
    <row r="21" spans="1:6" ht="15">
      <c r="A21" t="s">
        <v>392</v>
      </c>
      <c r="B21" t="s">
        <v>422</v>
      </c>
      <c r="C21" t="s">
        <v>420</v>
      </c>
      <c r="D21" s="2" t="s">
        <v>25</v>
      </c>
      <c r="E21" s="3">
        <v>120.92</v>
      </c>
      <c r="F21" s="3">
        <v>133.27</v>
      </c>
    </row>
    <row r="22" spans="1:6" ht="15">
      <c r="A22" t="s">
        <v>394</v>
      </c>
      <c r="B22" t="s">
        <v>423</v>
      </c>
      <c r="C22" t="s">
        <v>420</v>
      </c>
      <c r="D22" s="2" t="s">
        <v>25</v>
      </c>
      <c r="E22" s="3">
        <v>120.83</v>
      </c>
      <c r="F22" s="3">
        <v>133.15</v>
      </c>
    </row>
    <row r="23" spans="1:6" ht="15">
      <c r="A23" t="s">
        <v>396</v>
      </c>
      <c r="B23" t="s">
        <v>424</v>
      </c>
      <c r="C23" t="s">
        <v>420</v>
      </c>
      <c r="D23" s="2" t="s">
        <v>25</v>
      </c>
      <c r="E23" s="3">
        <v>241.66</v>
      </c>
      <c r="F23" s="3">
        <v>266.29</v>
      </c>
    </row>
    <row r="24" spans="1:6" ht="15">
      <c r="A24" t="s">
        <v>398</v>
      </c>
      <c r="B24" t="s">
        <v>425</v>
      </c>
      <c r="C24" t="s">
        <v>420</v>
      </c>
      <c r="D24" s="2" t="s">
        <v>25</v>
      </c>
      <c r="E24" s="3">
        <v>237.56</v>
      </c>
      <c r="F24" s="3">
        <v>261.77</v>
      </c>
    </row>
    <row r="25" spans="1:6" ht="15">
      <c r="A25" t="s">
        <v>400</v>
      </c>
      <c r="B25" t="s">
        <v>426</v>
      </c>
      <c r="C25" t="s">
        <v>420</v>
      </c>
      <c r="D25" s="2" t="s">
        <v>25</v>
      </c>
      <c r="E25" s="3">
        <v>475.13</v>
      </c>
      <c r="F25" s="3">
        <v>523.54</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1"/>
  <sheetViews>
    <sheetView workbookViewId="0" topLeftCell="A1">
      <pane ySplit="1" topLeftCell="A2" activePane="bottomLeft" state="frozen"/>
      <selection pane="bottomLeft" activeCell="K11" sqref="K11"/>
    </sheetView>
  </sheetViews>
  <sheetFormatPr defaultColWidth="9.140625" defaultRowHeight="15"/>
  <cols>
    <col min="1" max="1" width="19.7109375" style="0" customWidth="1"/>
    <col min="2" max="2" width="23.421875" style="0" bestFit="1" customWidth="1"/>
    <col min="4" max="4" width="39.421875" style="0" customWidth="1"/>
    <col min="6" max="6" width="14.28125" style="0" bestFit="1" customWidth="1"/>
    <col min="7" max="7" width="18.421875" style="0" bestFit="1" customWidth="1"/>
    <col min="8" max="8" width="14.421875" style="0" bestFit="1" customWidth="1"/>
    <col min="9" max="9" width="20.28125" style="0" bestFit="1" customWidth="1"/>
    <col min="11" max="11" width="19.00390625" style="0" customWidth="1"/>
  </cols>
  <sheetData>
    <row r="1" spans="1:11" s="1" customFormat="1" ht="15">
      <c r="A1" s="1" t="s">
        <v>427</v>
      </c>
      <c r="D1" s="1" t="s">
        <v>428</v>
      </c>
      <c r="K1" s="1" t="s">
        <v>429</v>
      </c>
    </row>
    <row r="3" spans="1:11" ht="15">
      <c r="A3" s="181" t="s">
        <v>430</v>
      </c>
      <c r="B3" s="181"/>
      <c r="D3" s="1" t="s">
        <v>431</v>
      </c>
      <c r="F3" s="181" t="s">
        <v>432</v>
      </c>
      <c r="G3" s="181"/>
      <c r="H3" s="181"/>
      <c r="I3" s="181"/>
      <c r="K3" t="s">
        <v>433</v>
      </c>
    </row>
    <row r="4" spans="1:9" ht="15" customHeight="1">
      <c r="A4" t="s">
        <v>434</v>
      </c>
      <c r="B4" t="s">
        <v>3</v>
      </c>
      <c r="D4" s="14" t="s">
        <v>435</v>
      </c>
      <c r="F4" t="s">
        <v>436</v>
      </c>
      <c r="G4" t="s">
        <v>437</v>
      </c>
      <c r="H4" t="s">
        <v>438</v>
      </c>
      <c r="I4" t="s">
        <v>6</v>
      </c>
    </row>
    <row r="5" spans="1:11" ht="15" customHeight="1">
      <c r="A5" t="s">
        <v>436</v>
      </c>
      <c r="B5" t="s">
        <v>438</v>
      </c>
      <c r="D5" s="14" t="s">
        <v>439</v>
      </c>
      <c r="F5" t="s">
        <v>9</v>
      </c>
      <c r="H5" t="s">
        <v>440</v>
      </c>
      <c r="K5" t="s">
        <v>441</v>
      </c>
    </row>
    <row r="6" spans="1:9" ht="15">
      <c r="A6" t="s">
        <v>437</v>
      </c>
      <c r="B6" t="s">
        <v>6</v>
      </c>
      <c r="F6" t="s">
        <v>279</v>
      </c>
      <c r="G6" t="s">
        <v>9</v>
      </c>
      <c r="H6" t="s">
        <v>345</v>
      </c>
      <c r="I6" t="s">
        <v>440</v>
      </c>
    </row>
    <row r="7" spans="2:9" ht="15">
      <c r="B7" s="1"/>
      <c r="D7" s="1" t="s">
        <v>442</v>
      </c>
      <c r="F7" t="s">
        <v>281</v>
      </c>
      <c r="G7" t="s">
        <v>285</v>
      </c>
      <c r="H7" t="s">
        <v>281</v>
      </c>
      <c r="I7" t="s">
        <v>350</v>
      </c>
    </row>
    <row r="8" spans="1:9" ht="15" customHeight="1">
      <c r="A8" s="1" t="s">
        <v>443</v>
      </c>
      <c r="D8" t="s">
        <v>444</v>
      </c>
      <c r="F8" t="s">
        <v>283</v>
      </c>
      <c r="G8" t="s">
        <v>287</v>
      </c>
      <c r="H8" t="s">
        <v>348</v>
      </c>
      <c r="I8" t="s">
        <v>352</v>
      </c>
    </row>
    <row r="9" spans="1:4" ht="15" customHeight="1">
      <c r="A9" s="10" t="s">
        <v>445</v>
      </c>
      <c r="B9" s="10"/>
      <c r="D9" t="s">
        <v>446</v>
      </c>
    </row>
    <row r="10" spans="1:4" ht="15">
      <c r="A10" s="10" t="s">
        <v>447</v>
      </c>
      <c r="B10" s="10"/>
      <c r="D10" t="s">
        <v>448</v>
      </c>
    </row>
    <row r="11" spans="1:4" ht="15" thickBot="1">
      <c r="A11" s="10" t="s">
        <v>5</v>
      </c>
      <c r="B11" s="10"/>
      <c r="D11" t="s">
        <v>449</v>
      </c>
    </row>
    <row r="12" spans="1:16" ht="15" customHeight="1">
      <c r="A12" s="10" t="s">
        <v>450</v>
      </c>
      <c r="B12" s="10"/>
      <c r="D12" t="s">
        <v>451</v>
      </c>
      <c r="K12" s="182" t="s">
        <v>452</v>
      </c>
      <c r="L12" s="183"/>
      <c r="M12" s="183"/>
      <c r="N12" s="183"/>
      <c r="O12" s="183"/>
      <c r="P12" s="184"/>
    </row>
    <row r="13" spans="4:16" ht="15" customHeight="1">
      <c r="D13" t="s">
        <v>453</v>
      </c>
      <c r="K13" s="20"/>
      <c r="L13" s="21"/>
      <c r="M13" s="21"/>
      <c r="N13" s="21"/>
      <c r="O13" s="21"/>
      <c r="P13" s="22"/>
    </row>
    <row r="14" spans="1:16" ht="15" customHeight="1">
      <c r="A14" s="1" t="s">
        <v>454</v>
      </c>
      <c r="B14" s="1"/>
      <c r="D14" t="s">
        <v>455</v>
      </c>
      <c r="K14" s="20"/>
      <c r="L14" s="23" t="s">
        <v>364</v>
      </c>
      <c r="M14" s="23" t="s">
        <v>367</v>
      </c>
      <c r="N14" s="23" t="s">
        <v>456</v>
      </c>
      <c r="O14" s="23" t="s">
        <v>457</v>
      </c>
      <c r="P14" s="24" t="s">
        <v>164</v>
      </c>
    </row>
    <row r="15" spans="1:16" ht="15" customHeight="1">
      <c r="A15" s="10" t="s">
        <v>4</v>
      </c>
      <c r="D15" t="s">
        <v>458</v>
      </c>
      <c r="K15" s="20" t="s">
        <v>459</v>
      </c>
      <c r="L15" s="25">
        <f>'2. VM'!Q12</f>
        <v>2</v>
      </c>
      <c r="M15" s="25">
        <f>'2. VM'!Q13</f>
        <v>16</v>
      </c>
      <c r="N15" s="25">
        <f>'2. VM'!Q14</f>
        <v>388</v>
      </c>
      <c r="O15" s="25">
        <f>'2. VM'!Q15</f>
        <v>0</v>
      </c>
      <c r="P15" s="26">
        <f>(N15+O15)*'2. VM'!Q18</f>
        <v>776</v>
      </c>
    </row>
    <row r="16" spans="1:16" ht="15" customHeight="1">
      <c r="A16" s="10" t="s">
        <v>59</v>
      </c>
      <c r="D16" t="s">
        <v>460</v>
      </c>
      <c r="K16" s="20"/>
      <c r="L16" s="25"/>
      <c r="M16" s="25"/>
      <c r="N16" s="25"/>
      <c r="O16" s="25"/>
      <c r="P16" s="26"/>
    </row>
    <row r="17" spans="2:16" ht="15" customHeight="1">
      <c r="B17" s="10"/>
      <c r="K17" s="20" t="s">
        <v>461</v>
      </c>
      <c r="L17" s="25"/>
      <c r="M17" s="25"/>
      <c r="N17" s="25"/>
      <c r="O17" s="25"/>
      <c r="P17" s="26"/>
    </row>
    <row r="18" spans="1:16" ht="15" customHeight="1">
      <c r="A18" s="1" t="s">
        <v>14</v>
      </c>
      <c r="B18" s="10"/>
      <c r="D18" s="1" t="s">
        <v>462</v>
      </c>
      <c r="K18" s="20" t="s">
        <v>463</v>
      </c>
      <c r="L18" s="25">
        <v>2</v>
      </c>
      <c r="M18" s="25">
        <v>4</v>
      </c>
      <c r="N18" s="25">
        <v>128</v>
      </c>
      <c r="O18" s="25">
        <v>0</v>
      </c>
      <c r="P18" s="26">
        <v>512</v>
      </c>
    </row>
    <row r="19" spans="1:16" ht="15" customHeight="1">
      <c r="A19" s="14" t="s">
        <v>464</v>
      </c>
      <c r="B19" s="1"/>
      <c r="C19" s="1"/>
      <c r="D19" t="s">
        <v>465</v>
      </c>
      <c r="K19" s="20" t="s">
        <v>466</v>
      </c>
      <c r="L19" s="25">
        <v>2</v>
      </c>
      <c r="M19" s="25">
        <v>8</v>
      </c>
      <c r="N19" s="25">
        <v>256</v>
      </c>
      <c r="O19" s="25">
        <v>0</v>
      </c>
      <c r="P19" s="26">
        <v>512</v>
      </c>
    </row>
    <row r="20" spans="1:16" ht="15" customHeight="1">
      <c r="A20" s="14" t="s">
        <v>467</v>
      </c>
      <c r="B20" s="14"/>
      <c r="D20" t="s">
        <v>468</v>
      </c>
      <c r="K20" s="20" t="s">
        <v>469</v>
      </c>
      <c r="L20" s="25">
        <v>8</v>
      </c>
      <c r="M20" s="25">
        <v>32</v>
      </c>
      <c r="N20" s="25">
        <v>1024</v>
      </c>
      <c r="O20" s="25">
        <v>0</v>
      </c>
      <c r="P20" s="26">
        <v>2048</v>
      </c>
    </row>
    <row r="21" spans="2:16" ht="15" customHeight="1">
      <c r="B21" s="14"/>
      <c r="D21" t="s">
        <v>470</v>
      </c>
      <c r="K21" s="20" t="s">
        <v>471</v>
      </c>
      <c r="L21" s="25">
        <v>16</v>
      </c>
      <c r="M21" s="25">
        <v>64</v>
      </c>
      <c r="N21" s="25">
        <v>2048</v>
      </c>
      <c r="O21" s="25">
        <v>0</v>
      </c>
      <c r="P21" s="26">
        <v>4096</v>
      </c>
    </row>
    <row r="22" spans="1:16" ht="15" customHeight="1">
      <c r="A22" s="15" t="s">
        <v>472</v>
      </c>
      <c r="B22" s="14"/>
      <c r="D22" t="s">
        <v>473</v>
      </c>
      <c r="K22" s="20"/>
      <c r="L22" s="21"/>
      <c r="M22" s="21"/>
      <c r="N22" s="21"/>
      <c r="O22" s="21"/>
      <c r="P22" s="22"/>
    </row>
    <row r="23" spans="1:16" ht="14.65" customHeight="1" thickBot="1">
      <c r="A23" s="14" t="s">
        <v>474</v>
      </c>
      <c r="B23" s="15"/>
      <c r="D23" t="s">
        <v>475</v>
      </c>
      <c r="K23" s="27" t="s">
        <v>476</v>
      </c>
      <c r="L23" s="28">
        <v>1</v>
      </c>
      <c r="M23" s="28">
        <v>2</v>
      </c>
      <c r="N23" s="28">
        <v>256</v>
      </c>
      <c r="O23" s="28">
        <v>256</v>
      </c>
      <c r="P23" s="29">
        <v>512</v>
      </c>
    </row>
    <row r="24" spans="1:4" ht="15" customHeight="1">
      <c r="A24" s="14" t="s">
        <v>477</v>
      </c>
      <c r="B24" s="14"/>
      <c r="D24" t="s">
        <v>478</v>
      </c>
    </row>
    <row r="25" spans="2:4" ht="15" customHeight="1">
      <c r="B25" s="14"/>
      <c r="D25" t="s">
        <v>479</v>
      </c>
    </row>
    <row r="26" spans="1:4" ht="15" customHeight="1">
      <c r="A26" s="15" t="s">
        <v>480</v>
      </c>
      <c r="D26" t="s">
        <v>481</v>
      </c>
    </row>
    <row r="27" spans="1:4" ht="15.4" customHeight="1">
      <c r="A27" s="14" t="s">
        <v>482</v>
      </c>
      <c r="B27" s="15"/>
      <c r="D27" t="s">
        <v>483</v>
      </c>
    </row>
    <row r="28" spans="1:4" ht="15" customHeight="1">
      <c r="A28" s="14" t="s">
        <v>484</v>
      </c>
      <c r="B28" s="14"/>
      <c r="D28" t="s">
        <v>485</v>
      </c>
    </row>
    <row r="29" spans="2:4" ht="15" customHeight="1">
      <c r="B29" s="14"/>
      <c r="D29" t="s">
        <v>486</v>
      </c>
    </row>
    <row r="30" spans="1:4" ht="15">
      <c r="A30" s="1" t="s">
        <v>487</v>
      </c>
      <c r="B30" s="105" t="s">
        <v>488</v>
      </c>
      <c r="D30" t="s">
        <v>489</v>
      </c>
    </row>
    <row r="31" spans="1:4" ht="15">
      <c r="A31" s="4" t="s">
        <v>7</v>
      </c>
      <c r="B31" s="4">
        <v>0</v>
      </c>
      <c r="D31" t="s">
        <v>490</v>
      </c>
    </row>
    <row r="32" spans="1:4" ht="15" customHeight="1">
      <c r="A32" s="4">
        <v>12</v>
      </c>
      <c r="B32" s="4">
        <v>0.05</v>
      </c>
      <c r="D32" t="s">
        <v>491</v>
      </c>
    </row>
    <row r="33" spans="1:4" ht="15" customHeight="1">
      <c r="A33" s="4">
        <v>36</v>
      </c>
      <c r="B33" s="4">
        <v>0.1</v>
      </c>
      <c r="D33" t="s">
        <v>492</v>
      </c>
    </row>
    <row r="34" spans="2:4" ht="15">
      <c r="B34" s="4"/>
      <c r="D34" t="s">
        <v>493</v>
      </c>
    </row>
    <row r="35" ht="15">
      <c r="D35" t="s">
        <v>494</v>
      </c>
    </row>
    <row r="36" ht="15" customHeight="1">
      <c r="D36" t="s">
        <v>495</v>
      </c>
    </row>
    <row r="37" ht="15" customHeight="1">
      <c r="D37" t="s">
        <v>496</v>
      </c>
    </row>
    <row r="38" ht="15">
      <c r="D38" t="s">
        <v>497</v>
      </c>
    </row>
    <row r="39" ht="15">
      <c r="D39" t="s">
        <v>498</v>
      </c>
    </row>
    <row r="40" ht="15" customHeight="1">
      <c r="D40" t="s">
        <v>499</v>
      </c>
    </row>
    <row r="41" ht="15" customHeight="1">
      <c r="D41" t="s">
        <v>500</v>
      </c>
    </row>
    <row r="42" ht="15" customHeight="1"/>
    <row r="44" ht="15" customHeight="1"/>
    <row r="45" ht="15" customHeight="1"/>
    <row r="46" ht="15" customHeight="1"/>
    <row r="48" ht="15" customHeight="1"/>
    <row r="49" ht="15" customHeight="1"/>
    <row r="50" ht="15" customHeight="1"/>
    <row r="52" ht="15" customHeight="1"/>
    <row r="53" ht="15" customHeight="1"/>
    <row r="54" ht="15" customHeight="1"/>
    <row r="56" ht="15" customHeight="1"/>
    <row r="57" ht="15" customHeight="1"/>
    <row r="58" ht="15" customHeight="1"/>
    <row r="59" ht="15" customHeight="1"/>
    <row r="60" ht="15" customHeight="1"/>
    <row r="61" ht="15" customHeight="1"/>
    <row r="62" ht="15" customHeight="1"/>
    <row r="64" ht="15" customHeight="1"/>
    <row r="65" ht="15" customHeight="1"/>
  </sheetData>
  <mergeCells count="3">
    <mergeCell ref="A3:B3"/>
    <mergeCell ref="F3:I3"/>
    <mergeCell ref="K12:P1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S1001"/>
  <sheetViews>
    <sheetView showRowColHeaders="0" workbookViewId="0" topLeftCell="A1">
      <pane ySplit="4" topLeftCell="A5" activePane="bottomLeft" state="frozen"/>
      <selection pane="topLeft" activeCell="F10" sqref="F10"/>
      <selection pane="bottomLeft" activeCell="C2" sqref="C2:N2"/>
    </sheetView>
  </sheetViews>
  <sheetFormatPr defaultColWidth="9.140625" defaultRowHeight="15"/>
  <cols>
    <col min="1" max="1" width="3.28125" style="83" customWidth="1"/>
    <col min="2" max="2" width="24.140625" style="83" customWidth="1"/>
    <col min="3" max="3" width="6.7109375" style="84" bestFit="1" customWidth="1"/>
    <col min="4" max="4" width="4.57421875" style="84" bestFit="1" customWidth="1"/>
    <col min="5" max="5" width="8.28125" style="84" bestFit="1" customWidth="1"/>
    <col min="6" max="6" width="9.140625" style="74" customWidth="1"/>
    <col min="7" max="7" width="8.28125" style="84" bestFit="1" customWidth="1"/>
    <col min="8" max="8" width="8.28125" style="84" customWidth="1"/>
    <col min="9" max="9" width="10.421875" style="84" hidden="1" customWidth="1"/>
    <col min="10" max="10" width="11.8515625" style="84" hidden="1" customWidth="1"/>
    <col min="11" max="11" width="9.7109375" style="84" hidden="1" customWidth="1"/>
    <col min="12" max="12" width="31.7109375" style="84" bestFit="1" customWidth="1"/>
    <col min="13" max="13" width="32.421875" style="84" customWidth="1"/>
    <col min="14" max="14" width="27.57421875" style="85" customWidth="1"/>
    <col min="15" max="15" width="3.28125" style="32" customWidth="1"/>
    <col min="16" max="16" width="43.8515625" style="32" bestFit="1" customWidth="1"/>
    <col min="17" max="17" width="17.8515625" style="32" bestFit="1" customWidth="1"/>
    <col min="18" max="16384" width="9.140625" style="83" customWidth="1"/>
  </cols>
  <sheetData>
    <row r="1" spans="3:14" s="32" customFormat="1" ht="37.9" customHeight="1" thickBot="1">
      <c r="C1" s="74"/>
      <c r="D1" s="74"/>
      <c r="E1" s="74"/>
      <c r="F1" s="74"/>
      <c r="G1" s="74"/>
      <c r="H1" s="74"/>
      <c r="I1" s="74"/>
      <c r="J1" s="74"/>
      <c r="K1" s="74"/>
      <c r="L1" s="74"/>
      <c r="M1" s="74"/>
      <c r="N1" s="75"/>
    </row>
    <row r="2" spans="2:15" s="32" customFormat="1" ht="75" customHeight="1" thickBot="1">
      <c r="B2" s="76" t="str">
        <f>IF('1. Info'!$C$6="English","How to Use:",IF('1. Info'!$C$6="Français","Utilisation:","#Error"))</f>
        <v>Utilisation:</v>
      </c>
      <c r="C2" s="159" t="str">
        <f>IF('1. Info'!$C$6="English",Variables!$D$4,IF('1. Info'!$C$6="Français",Variables!$D$5,"#Error"))</f>
        <v>Vous pouvez utiliser cette feuille pour créer votre séparation de serveurs, pour vous donner une vue de la division des ressources. Entrez le nom du serveur et les ressources voulues dans les cellules appropriées. Le total sera calculé automatiquement et ces nombres totaux seront ajoutés automatiquement à l'estimateur de coûts.</v>
      </c>
      <c r="D2" s="160"/>
      <c r="E2" s="160"/>
      <c r="F2" s="160"/>
      <c r="G2" s="160"/>
      <c r="H2" s="160"/>
      <c r="I2" s="160"/>
      <c r="J2" s="160"/>
      <c r="K2" s="160"/>
      <c r="L2" s="160"/>
      <c r="M2" s="160"/>
      <c r="N2" s="161"/>
      <c r="O2" s="77"/>
    </row>
    <row r="3" spans="3:14" s="32" customFormat="1" ht="15">
      <c r="C3" s="74"/>
      <c r="D3" s="74"/>
      <c r="E3" s="74"/>
      <c r="F3" s="74"/>
      <c r="G3" s="74"/>
      <c r="H3" s="74"/>
      <c r="I3" s="74"/>
      <c r="J3" s="74"/>
      <c r="K3" s="74"/>
      <c r="L3" s="74"/>
      <c r="M3" s="74"/>
      <c r="N3" s="75"/>
    </row>
    <row r="4" spans="2:14" s="82" customFormat="1" ht="34.5">
      <c r="B4" s="78" t="str">
        <f>IF('1. Info'!$C$6="English","Server Name",IF('1. Info'!$C$6="Français","Nom du serveur","#Error"))</f>
        <v>Nom du serveur</v>
      </c>
      <c r="C4" s="79" t="str">
        <f>IF('1. Info'!$C$6="English","CPU (core)",IF('1. Info'!$C$6="Français","CPU (coeur)","#Error"))</f>
        <v>CPU (coeur)</v>
      </c>
      <c r="D4" s="79" t="str">
        <f>IF('1. Info'!$C$6="English","RAM (GB)",IF('1. Info'!$C$6="Français","RAM (Go)","#Error"))</f>
        <v>RAM (Go)</v>
      </c>
      <c r="E4" s="79" t="str">
        <f>IF('1. Info'!$C$6="English","Premium SSD OS (GB)",IF('1. Info'!$C$6="Français","Premium SSD OS (Go)","#Error"))</f>
        <v>Premium SSD OS (Go)</v>
      </c>
      <c r="F4" s="79" t="str">
        <f>IF('1. Info'!$C$6="English","Premium SSD Swap (GB)",IF('1. Info'!$C$6="Français","Premium SSD Swap (Go)","#Error"))</f>
        <v>Premium SSD Swap (Go)</v>
      </c>
      <c r="G4" s="79" t="str">
        <f>IF('1. Info'!$C$6="English","Premium SSD Data (GB)",IF('1. Info'!$C$6="Français","Premium SSD Data (Go)","#Error"))</f>
        <v>Premium SSD Data (Go)</v>
      </c>
      <c r="H4" s="79" t="str">
        <f>IF('1. Info'!$C$6="English","Standard HDD Data (GB)",IF('1. Info'!$C$6="Français","Standard HDD Data (Go)","#Error"))</f>
        <v>Standard HDD Data (Go)</v>
      </c>
      <c r="I4" s="80" t="str">
        <f>IF('1. Info'!$C$6="English","VM Backup (Schedule)",IF('1. Info'!$C$6="Français","Sauvegarde VM (Cédule)","#Error"))</f>
        <v>Sauvegarde VM (Cédule)</v>
      </c>
      <c r="J4" s="80" t="str">
        <f>IF('1. Info'!$C$6="English","VM Backup (Extra Storage)",IF('1. Info'!$C$6="Français","Sauvegarde VM (Stockage Extra)","#Error"))</f>
        <v>Sauvegarde VM (Stockage Extra)</v>
      </c>
      <c r="K4" s="80" t="str">
        <f>IF('1. Info'!$C$6="English","VM Replication",IF('1. Info'!$C$6="Français","Réplication VM","#Error"))</f>
        <v>Réplication VM</v>
      </c>
      <c r="L4" s="81" t="str">
        <f>IF('1. Info'!$C$6="English","Operating System",IF('1. Info'!$C$6="Français","Système d'exploitation","#Error"))</f>
        <v>Système d'exploitation</v>
      </c>
      <c r="M4" s="81" t="str">
        <f>IF('1. Info'!$C$6="English","SQL Version/Edition",IF('1. Info'!$C$6="Français","SQL Version/Édition","#Error"))</f>
        <v>SQL Version/Édition</v>
      </c>
      <c r="N4" s="80" t="str">
        <f>IF('1. Info'!$C$6="English","Comments",IF('1. Info'!$C$6="Français","Commentaires","#Error"))</f>
        <v>Commentaires</v>
      </c>
    </row>
    <row r="5" spans="3:10" ht="15">
      <c r="C5" s="84">
        <v>2</v>
      </c>
      <c r="D5" s="84">
        <v>16</v>
      </c>
      <c r="E5" s="84">
        <v>12</v>
      </c>
      <c r="F5" s="74">
        <f>D5</f>
        <v>16</v>
      </c>
      <c r="G5" s="84">
        <v>360</v>
      </c>
      <c r="I5" s="84">
        <f aca="true" t="shared" si="0" ref="I5:I24">IF(C5&gt;0,1,"")</f>
        <v>1</v>
      </c>
      <c r="J5" s="84">
        <f>_xlfn.IFERROR(IF(AND(SUM(E5:H5)&gt;1000,I5&gt;0),((ROUNDUP(SUM(E5:H5)/1000,0)-1)*I5),0),0)</f>
        <v>0</v>
      </c>
    </row>
    <row r="6" spans="6:10" ht="15">
      <c r="F6" s="74">
        <f aca="true" t="shared" si="1" ref="F6:F70">D6</f>
        <v>0</v>
      </c>
      <c r="I6" s="84" t="str">
        <f aca="true" t="shared" si="2" ref="I6:I15">IF(C6&gt;0,1,"")</f>
        <v/>
      </c>
      <c r="J6" s="84">
        <f aca="true" t="shared" si="3" ref="J6:J15">_xlfn.IFERROR(IF(AND(SUM(E6:H6)&gt;1000,I6&gt;0),((ROUNDUP(SUM(E6:H6)/1000,0)-1)*I6),0),0)</f>
        <v>0</v>
      </c>
    </row>
    <row r="7" spans="6:10" ht="15">
      <c r="F7" s="74">
        <f t="shared" si="1"/>
        <v>0</v>
      </c>
      <c r="I7" s="84" t="str">
        <f t="shared" si="2"/>
        <v/>
      </c>
      <c r="J7" s="84">
        <f t="shared" si="3"/>
        <v>0</v>
      </c>
    </row>
    <row r="8" spans="6:10" ht="15">
      <c r="F8" s="74">
        <f t="shared" si="1"/>
        <v>0</v>
      </c>
      <c r="I8" s="84" t="str">
        <f t="shared" si="2"/>
        <v/>
      </c>
      <c r="J8" s="84">
        <f t="shared" si="3"/>
        <v>0</v>
      </c>
    </row>
    <row r="9" spans="6:10" ht="13" thickBot="1">
      <c r="F9" s="74">
        <f t="shared" si="1"/>
        <v>0</v>
      </c>
      <c r="I9" s="84" t="str">
        <f t="shared" si="2"/>
        <v/>
      </c>
      <c r="J9" s="84">
        <f t="shared" si="3"/>
        <v>0</v>
      </c>
    </row>
    <row r="10" spans="6:17" ht="13.9" customHeight="1">
      <c r="F10" s="74">
        <f t="shared" si="1"/>
        <v>0</v>
      </c>
      <c r="I10" s="84" t="str">
        <f t="shared" si="2"/>
        <v/>
      </c>
      <c r="J10" s="84">
        <f t="shared" si="3"/>
        <v>0</v>
      </c>
      <c r="P10" s="164" t="str">
        <f>IF('1. Info'!$C$6="English","Resources",IF('1. Info'!$C$6="Français","Ressources","#Error"))</f>
        <v>Ressources</v>
      </c>
      <c r="Q10" s="162" t="str">
        <f>IF('1. Info'!$C$6="English","Total",IF('1. Info'!$C$6="Français","Total","#Error"))</f>
        <v>Total</v>
      </c>
    </row>
    <row r="11" spans="6:17" ht="13" thickBot="1">
      <c r="F11" s="74">
        <f t="shared" si="1"/>
        <v>0</v>
      </c>
      <c r="I11" s="84" t="str">
        <f t="shared" si="2"/>
        <v/>
      </c>
      <c r="J11" s="84">
        <f t="shared" si="3"/>
        <v>0</v>
      </c>
      <c r="P11" s="165"/>
      <c r="Q11" s="163"/>
    </row>
    <row r="12" spans="6:17" ht="14">
      <c r="F12" s="74">
        <f t="shared" si="1"/>
        <v>0</v>
      </c>
      <c r="I12" s="84" t="str">
        <f t="shared" si="2"/>
        <v/>
      </c>
      <c r="J12" s="84">
        <f t="shared" si="3"/>
        <v>0</v>
      </c>
      <c r="P12" s="95" t="str">
        <f>IF('1. Info'!$C$6="English","CPU (cores):",IF('1. Info'!$C$6="Français","CPU (cœurs):","#Error"))</f>
        <v>CPU (cœurs):</v>
      </c>
      <c r="Q12" s="87">
        <f>SUM(C:C)</f>
        <v>2</v>
      </c>
    </row>
    <row r="13" spans="6:17" ht="14">
      <c r="F13" s="74">
        <f t="shared" si="1"/>
        <v>0</v>
      </c>
      <c r="I13" s="84" t="str">
        <f t="shared" si="2"/>
        <v/>
      </c>
      <c r="J13" s="84">
        <f t="shared" si="3"/>
        <v>0</v>
      </c>
      <c r="P13" s="96" t="str">
        <f>IF('1. Info'!$C$6="English","RAM (GB):",IF('1. Info'!$C$6="Français","RAM (Go):","#Error"))</f>
        <v>RAM (Go):</v>
      </c>
      <c r="Q13" s="88">
        <f>SUM(D:D)</f>
        <v>16</v>
      </c>
    </row>
    <row r="14" spans="6:17" ht="14">
      <c r="F14" s="74">
        <f t="shared" si="1"/>
        <v>0</v>
      </c>
      <c r="I14" s="84" t="str">
        <f t="shared" si="2"/>
        <v/>
      </c>
      <c r="J14" s="84">
        <f t="shared" si="3"/>
        <v>0</v>
      </c>
      <c r="P14" s="96" t="str">
        <f>IF('1. Info'!$C$6="English","Premium SSD (GB):",IF('1. Info'!$C$6="Français","Premium SSD (Go):","#Error"))</f>
        <v>Premium SSD (Go):</v>
      </c>
      <c r="Q14" s="88">
        <f>SUM(E:E)+SUM(F:F)+SUM(G:G)</f>
        <v>388</v>
      </c>
    </row>
    <row r="15" spans="6:17" ht="14">
      <c r="F15" s="74">
        <f t="shared" si="1"/>
        <v>0</v>
      </c>
      <c r="I15" s="84" t="str">
        <f t="shared" si="2"/>
        <v/>
      </c>
      <c r="J15" s="84">
        <f t="shared" si="3"/>
        <v>0</v>
      </c>
      <c r="P15" s="96" t="str">
        <f>IF('1. Info'!$C$6="English","Standard HDD (GB):",IF('1. Info'!$C$6="Français","Standard HDD (Go):","#Error"))</f>
        <v>Standard HDD (Go):</v>
      </c>
      <c r="Q15" s="88">
        <f>SUM(H:H)</f>
        <v>0</v>
      </c>
    </row>
    <row r="16" spans="6:17" ht="14" hidden="1">
      <c r="F16" s="74">
        <f t="shared" si="1"/>
        <v>0</v>
      </c>
      <c r="I16" s="84" t="str">
        <f t="shared" si="0"/>
        <v/>
      </c>
      <c r="J16" s="84">
        <f aca="true" t="shared" si="4" ref="J16:J24">_xlfn.IFERROR(IF(AND(SUM(E16:H16)&gt;1000,I16&gt;0),((ROUNDUP(SUM(E16:H16)/1000,0)-1)*I16),0),0)</f>
        <v>0</v>
      </c>
      <c r="P16" s="96" t="str">
        <f>IF('1. Info'!$C$6="English","PC Hyper-V - # Backup Schedules:",IF('1. Info'!$C$6="Français","PC Hyper-V - # cédules de sauvegarde:","#Error"))</f>
        <v>PC Hyper-V - # cédules de sauvegarde:</v>
      </c>
      <c r="Q16" s="88">
        <f>SUM(I:I)</f>
        <v>1</v>
      </c>
    </row>
    <row r="17" spans="6:17" ht="14" hidden="1">
      <c r="F17" s="74">
        <f t="shared" si="1"/>
        <v>0</v>
      </c>
      <c r="I17" s="84" t="str">
        <f t="shared" si="0"/>
        <v/>
      </c>
      <c r="J17" s="84">
        <f t="shared" si="4"/>
        <v>0</v>
      </c>
      <c r="P17" s="96" t="str">
        <f>IF('1. Info'!$C$6="English","PC Hyper-V - # Backup Extra Storage:",IF('1. Info'!$C$6="Français","PC Hyper-V - # stockage extra de sauvegarde:","#Error"))</f>
        <v>PC Hyper-V - # stockage extra de sauvegarde:</v>
      </c>
      <c r="Q17" s="88">
        <f>SUM(J:J)</f>
        <v>0</v>
      </c>
    </row>
    <row r="18" spans="6:17" ht="14">
      <c r="F18" s="74">
        <f aca="true" t="shared" si="5" ref="F18">D18</f>
        <v>0</v>
      </c>
      <c r="I18" s="84" t="str">
        <f aca="true" t="shared" si="6" ref="I18">IF(C18&gt;0,1,"")</f>
        <v/>
      </c>
      <c r="J18" s="84">
        <f aca="true" t="shared" si="7" ref="J18">_xlfn.IFERROR(IF(AND(SUM(E18:H18)&gt;1000,I18&gt;0),((ROUNDUP(SUM(E18:H18)/1000,0)-1)*I18),0),0)</f>
        <v>0</v>
      </c>
      <c r="P18" s="96" t="str">
        <f>IF('1. Info'!$C$6="English","PC VMware - Backup Ratio:",IF('1. Info'!$C$6="Français","PC VMware - Ratio sauvegardes:","#Error"))</f>
        <v>PC VMware - Ratio sauvegardes:</v>
      </c>
      <c r="Q18" s="100">
        <v>2</v>
      </c>
    </row>
    <row r="19" spans="6:17" ht="14.5" thickBot="1">
      <c r="F19" s="74">
        <f t="shared" si="1"/>
        <v>0</v>
      </c>
      <c r="I19" s="84" t="str">
        <f t="shared" si="0"/>
        <v/>
      </c>
      <c r="J19" s="84">
        <f t="shared" si="4"/>
        <v>0</v>
      </c>
      <c r="P19" s="97" t="str">
        <f>IF('1. Info'!$C$6="English","# VM:",IF('1. Info'!$C$6="Français","# VM:","#Error"))</f>
        <v># VM:</v>
      </c>
      <c r="Q19" s="89">
        <f>COUNT(C:C)</f>
        <v>1</v>
      </c>
    </row>
    <row r="20" spans="6:19" ht="14.5" hidden="1">
      <c r="F20" s="74">
        <f t="shared" si="1"/>
        <v>0</v>
      </c>
      <c r="I20" s="84" t="str">
        <f t="shared" si="0"/>
        <v/>
      </c>
      <c r="J20" s="84">
        <f t="shared" si="4"/>
        <v>0</v>
      </c>
      <c r="P20" s="95" t="str">
        <f>IF('1. Info'!$C$6="English","VM Replication - VM (#):",IF('1. Info'!$C$6="Français","Réplication VM - VM (#):","#Error"))</f>
        <v>Réplication VM - VM (#):</v>
      </c>
      <c r="Q20" s="87">
        <f>COUNTIF(K:K,"Oui / Yes")</f>
        <v>0</v>
      </c>
      <c r="R20" s="94"/>
      <c r="S20" s="94"/>
    </row>
    <row r="21" spans="6:17" ht="14" hidden="1">
      <c r="F21" s="74">
        <f t="shared" si="1"/>
        <v>0</v>
      </c>
      <c r="I21" s="84" t="str">
        <f t="shared" si="0"/>
        <v/>
      </c>
      <c r="J21" s="84">
        <f t="shared" si="4"/>
        <v>0</v>
      </c>
      <c r="P21" s="96" t="str">
        <f>IF('1. Info'!$C$6="English","VM Replication - Premium SSD (GB):",IF('1. Info'!$C$6="Français","VM Replication - Premium SSD (Go):","#Error"))</f>
        <v>VM Replication - Premium SSD (Go):</v>
      </c>
      <c r="Q21" s="88">
        <f>SUMIF(K:K,"Oui / Yes",E:E)+SUMIF(K:K,"Oui / Yes",F:F)+SUMIF(K:K,"Oui / Yes",G:G)</f>
        <v>0</v>
      </c>
    </row>
    <row r="22" spans="6:17" ht="14" hidden="1">
      <c r="F22" s="74">
        <f t="shared" si="1"/>
        <v>0</v>
      </c>
      <c r="I22" s="84" t="str">
        <f t="shared" si="0"/>
        <v/>
      </c>
      <c r="J22" s="84">
        <f t="shared" si="4"/>
        <v>0</v>
      </c>
      <c r="P22" s="96" t="str">
        <f>IF('1. Info'!$C$6="English","VM Replication - Standard HDD (GB):",IF('1. Info'!$C$6="Français","Réplication VM - Standard HDD (Go):","#Error"))</f>
        <v>Réplication VM - Standard HDD (Go):</v>
      </c>
      <c r="Q22" s="88">
        <f>SUMIF(K:K,"Oui / Yes",H:H)</f>
        <v>0</v>
      </c>
    </row>
    <row r="23" spans="6:17" ht="14.5" hidden="1" thickBot="1">
      <c r="F23" s="74">
        <f t="shared" si="1"/>
        <v>0</v>
      </c>
      <c r="I23" s="84" t="str">
        <f t="shared" si="0"/>
        <v/>
      </c>
      <c r="J23" s="84">
        <f t="shared" si="4"/>
        <v>0</v>
      </c>
      <c r="P23" s="97" t="str">
        <f>IF('1. Info'!C6="English",IF('1. Info'!C12="Partner","NOC Services",IF('1. Info'!C12="Direct","Managed Cloud Services","N/A")),IF('1. Info'!C6="Français",IF('1. Info'!C12="Partenaire","Services NOC",IF('1. Info'!C12="Vente_Directe","Services cloud gérés","N/A")),"N/A"))</f>
        <v>Services cloud gérés</v>
      </c>
      <c r="Q23" s="98" t="s">
        <v>9</v>
      </c>
    </row>
    <row r="24" spans="6:10" ht="15">
      <c r="F24" s="74">
        <f t="shared" si="1"/>
        <v>0</v>
      </c>
      <c r="I24" s="84" t="str">
        <f t="shared" si="0"/>
        <v/>
      </c>
      <c r="J24" s="84">
        <f t="shared" si="4"/>
        <v>0</v>
      </c>
    </row>
    <row r="25" spans="6:10" ht="15">
      <c r="F25" s="74">
        <f t="shared" si="1"/>
        <v>0</v>
      </c>
      <c r="I25" s="84" t="str">
        <f aca="true" t="shared" si="8" ref="I25:I88">IF(C25&gt;0,1,"")</f>
        <v/>
      </c>
      <c r="J25" s="84">
        <f aca="true" t="shared" si="9" ref="J25:J88">_xlfn.IFERROR(IF(AND(SUM(E25:H25)&gt;1000,I25&gt;0),((ROUNDUP(SUM(E25:H25)/1000,0)-1)*I25),0),0)</f>
        <v>0</v>
      </c>
    </row>
    <row r="26" spans="6:10" ht="15">
      <c r="F26" s="74">
        <f t="shared" si="1"/>
        <v>0</v>
      </c>
      <c r="I26" s="84" t="str">
        <f t="shared" si="8"/>
        <v/>
      </c>
      <c r="J26" s="84">
        <f t="shared" si="9"/>
        <v>0</v>
      </c>
    </row>
    <row r="27" spans="6:10" ht="15">
      <c r="F27" s="74">
        <f t="shared" si="1"/>
        <v>0</v>
      </c>
      <c r="I27" s="84" t="str">
        <f t="shared" si="8"/>
        <v/>
      </c>
      <c r="J27" s="84">
        <f t="shared" si="9"/>
        <v>0</v>
      </c>
    </row>
    <row r="28" spans="6:10" ht="15">
      <c r="F28" s="74">
        <f t="shared" si="1"/>
        <v>0</v>
      </c>
      <c r="I28" s="84" t="str">
        <f t="shared" si="8"/>
        <v/>
      </c>
      <c r="J28" s="84">
        <f t="shared" si="9"/>
        <v>0</v>
      </c>
    </row>
    <row r="29" spans="6:10" ht="15">
      <c r="F29" s="74">
        <f t="shared" si="1"/>
        <v>0</v>
      </c>
      <c r="I29" s="84" t="str">
        <f t="shared" si="8"/>
        <v/>
      </c>
      <c r="J29" s="84">
        <f t="shared" si="9"/>
        <v>0</v>
      </c>
    </row>
    <row r="30" spans="6:10" ht="15">
      <c r="F30" s="74">
        <f t="shared" si="1"/>
        <v>0</v>
      </c>
      <c r="I30" s="84" t="str">
        <f t="shared" si="8"/>
        <v/>
      </c>
      <c r="J30" s="84">
        <f t="shared" si="9"/>
        <v>0</v>
      </c>
    </row>
    <row r="31" spans="6:10" ht="15">
      <c r="F31" s="74">
        <f t="shared" si="1"/>
        <v>0</v>
      </c>
      <c r="I31" s="84" t="str">
        <f t="shared" si="8"/>
        <v/>
      </c>
      <c r="J31" s="84">
        <f t="shared" si="9"/>
        <v>0</v>
      </c>
    </row>
    <row r="32" spans="6:10" ht="15">
      <c r="F32" s="74">
        <f t="shared" si="1"/>
        <v>0</v>
      </c>
      <c r="I32" s="84" t="str">
        <f t="shared" si="8"/>
        <v/>
      </c>
      <c r="J32" s="84">
        <f t="shared" si="9"/>
        <v>0</v>
      </c>
    </row>
    <row r="33" spans="6:10" ht="15">
      <c r="F33" s="74">
        <f t="shared" si="1"/>
        <v>0</v>
      </c>
      <c r="I33" s="84" t="str">
        <f t="shared" si="8"/>
        <v/>
      </c>
      <c r="J33" s="84">
        <f t="shared" si="9"/>
        <v>0</v>
      </c>
    </row>
    <row r="34" spans="6:10" ht="15">
      <c r="F34" s="74">
        <f t="shared" si="1"/>
        <v>0</v>
      </c>
      <c r="I34" s="84" t="str">
        <f t="shared" si="8"/>
        <v/>
      </c>
      <c r="J34" s="84">
        <f t="shared" si="9"/>
        <v>0</v>
      </c>
    </row>
    <row r="35" spans="6:10" ht="15">
      <c r="F35" s="74">
        <f t="shared" si="1"/>
        <v>0</v>
      </c>
      <c r="I35" s="84" t="str">
        <f t="shared" si="8"/>
        <v/>
      </c>
      <c r="J35" s="84">
        <f t="shared" si="9"/>
        <v>0</v>
      </c>
    </row>
    <row r="36" spans="6:10" ht="15">
      <c r="F36" s="74">
        <f t="shared" si="1"/>
        <v>0</v>
      </c>
      <c r="I36" s="84" t="str">
        <f t="shared" si="8"/>
        <v/>
      </c>
      <c r="J36" s="84">
        <f t="shared" si="9"/>
        <v>0</v>
      </c>
    </row>
    <row r="37" spans="6:10" ht="15">
      <c r="F37" s="74">
        <f t="shared" si="1"/>
        <v>0</v>
      </c>
      <c r="I37" s="84" t="str">
        <f t="shared" si="8"/>
        <v/>
      </c>
      <c r="J37" s="84">
        <f t="shared" si="9"/>
        <v>0</v>
      </c>
    </row>
    <row r="38" spans="6:10" ht="15">
      <c r="F38" s="74">
        <f t="shared" si="1"/>
        <v>0</v>
      </c>
      <c r="I38" s="84" t="str">
        <f t="shared" si="8"/>
        <v/>
      </c>
      <c r="J38" s="84">
        <f t="shared" si="9"/>
        <v>0</v>
      </c>
    </row>
    <row r="39" spans="6:10" ht="15">
      <c r="F39" s="74">
        <f t="shared" si="1"/>
        <v>0</v>
      </c>
      <c r="I39" s="84" t="str">
        <f t="shared" si="8"/>
        <v/>
      </c>
      <c r="J39" s="84">
        <f t="shared" si="9"/>
        <v>0</v>
      </c>
    </row>
    <row r="40" spans="6:10" ht="15">
      <c r="F40" s="74">
        <f t="shared" si="1"/>
        <v>0</v>
      </c>
      <c r="I40" s="84" t="str">
        <f t="shared" si="8"/>
        <v/>
      </c>
      <c r="J40" s="84">
        <f t="shared" si="9"/>
        <v>0</v>
      </c>
    </row>
    <row r="41" spans="6:10" ht="15">
      <c r="F41" s="74">
        <f t="shared" si="1"/>
        <v>0</v>
      </c>
      <c r="I41" s="84" t="str">
        <f t="shared" si="8"/>
        <v/>
      </c>
      <c r="J41" s="84">
        <f t="shared" si="9"/>
        <v>0</v>
      </c>
    </row>
    <row r="42" spans="6:10" ht="15">
      <c r="F42" s="74">
        <f t="shared" si="1"/>
        <v>0</v>
      </c>
      <c r="I42" s="84" t="str">
        <f t="shared" si="8"/>
        <v/>
      </c>
      <c r="J42" s="84">
        <f t="shared" si="9"/>
        <v>0</v>
      </c>
    </row>
    <row r="43" spans="6:10" ht="15">
      <c r="F43" s="74">
        <f t="shared" si="1"/>
        <v>0</v>
      </c>
      <c r="I43" s="84" t="str">
        <f t="shared" si="8"/>
        <v/>
      </c>
      <c r="J43" s="84">
        <f t="shared" si="9"/>
        <v>0</v>
      </c>
    </row>
    <row r="44" spans="6:10" ht="15">
      <c r="F44" s="74">
        <f t="shared" si="1"/>
        <v>0</v>
      </c>
      <c r="I44" s="84" t="str">
        <f t="shared" si="8"/>
        <v/>
      </c>
      <c r="J44" s="84">
        <f t="shared" si="9"/>
        <v>0</v>
      </c>
    </row>
    <row r="45" spans="6:10" ht="15">
      <c r="F45" s="74">
        <f t="shared" si="1"/>
        <v>0</v>
      </c>
      <c r="I45" s="84" t="str">
        <f t="shared" si="8"/>
        <v/>
      </c>
      <c r="J45" s="84">
        <f t="shared" si="9"/>
        <v>0</v>
      </c>
    </row>
    <row r="46" spans="6:10" ht="15">
      <c r="F46" s="74">
        <f t="shared" si="1"/>
        <v>0</v>
      </c>
      <c r="I46" s="84" t="str">
        <f t="shared" si="8"/>
        <v/>
      </c>
      <c r="J46" s="84">
        <f t="shared" si="9"/>
        <v>0</v>
      </c>
    </row>
    <row r="47" spans="6:10" ht="15">
      <c r="F47" s="74">
        <f t="shared" si="1"/>
        <v>0</v>
      </c>
      <c r="I47" s="84" t="str">
        <f t="shared" si="8"/>
        <v/>
      </c>
      <c r="J47" s="84">
        <f t="shared" si="9"/>
        <v>0</v>
      </c>
    </row>
    <row r="48" spans="6:10" ht="15">
      <c r="F48" s="74">
        <f t="shared" si="1"/>
        <v>0</v>
      </c>
      <c r="I48" s="84" t="str">
        <f t="shared" si="8"/>
        <v/>
      </c>
      <c r="J48" s="84">
        <f t="shared" si="9"/>
        <v>0</v>
      </c>
    </row>
    <row r="49" spans="6:10" ht="15">
      <c r="F49" s="74">
        <f t="shared" si="1"/>
        <v>0</v>
      </c>
      <c r="I49" s="84" t="str">
        <f t="shared" si="8"/>
        <v/>
      </c>
      <c r="J49" s="84">
        <f t="shared" si="9"/>
        <v>0</v>
      </c>
    </row>
    <row r="50" spans="6:10" ht="15">
      <c r="F50" s="74">
        <f t="shared" si="1"/>
        <v>0</v>
      </c>
      <c r="I50" s="84" t="str">
        <f t="shared" si="8"/>
        <v/>
      </c>
      <c r="J50" s="84">
        <f t="shared" si="9"/>
        <v>0</v>
      </c>
    </row>
    <row r="51" spans="6:10" ht="15">
      <c r="F51" s="74">
        <f t="shared" si="1"/>
        <v>0</v>
      </c>
      <c r="I51" s="84" t="str">
        <f t="shared" si="8"/>
        <v/>
      </c>
      <c r="J51" s="84">
        <f t="shared" si="9"/>
        <v>0</v>
      </c>
    </row>
    <row r="52" spans="6:10" ht="15">
      <c r="F52" s="74">
        <f t="shared" si="1"/>
        <v>0</v>
      </c>
      <c r="I52" s="84" t="str">
        <f t="shared" si="8"/>
        <v/>
      </c>
      <c r="J52" s="84">
        <f t="shared" si="9"/>
        <v>0</v>
      </c>
    </row>
    <row r="53" spans="6:10" ht="15">
      <c r="F53" s="74">
        <f t="shared" si="1"/>
        <v>0</v>
      </c>
      <c r="I53" s="84" t="str">
        <f t="shared" si="8"/>
        <v/>
      </c>
      <c r="J53" s="84">
        <f t="shared" si="9"/>
        <v>0</v>
      </c>
    </row>
    <row r="54" spans="6:10" ht="15">
      <c r="F54" s="74">
        <f t="shared" si="1"/>
        <v>0</v>
      </c>
      <c r="I54" s="84" t="str">
        <f t="shared" si="8"/>
        <v/>
      </c>
      <c r="J54" s="84">
        <f t="shared" si="9"/>
        <v>0</v>
      </c>
    </row>
    <row r="55" spans="6:10" ht="15">
      <c r="F55" s="74">
        <f t="shared" si="1"/>
        <v>0</v>
      </c>
      <c r="I55" s="84" t="str">
        <f t="shared" si="8"/>
        <v/>
      </c>
      <c r="J55" s="84">
        <f t="shared" si="9"/>
        <v>0</v>
      </c>
    </row>
    <row r="56" spans="6:10" ht="15">
      <c r="F56" s="74">
        <f t="shared" si="1"/>
        <v>0</v>
      </c>
      <c r="I56" s="84" t="str">
        <f t="shared" si="8"/>
        <v/>
      </c>
      <c r="J56" s="84">
        <f t="shared" si="9"/>
        <v>0</v>
      </c>
    </row>
    <row r="57" spans="6:10" ht="15">
      <c r="F57" s="74">
        <f t="shared" si="1"/>
        <v>0</v>
      </c>
      <c r="I57" s="84" t="str">
        <f t="shared" si="8"/>
        <v/>
      </c>
      <c r="J57" s="84">
        <f t="shared" si="9"/>
        <v>0</v>
      </c>
    </row>
    <row r="58" spans="6:10" ht="15">
      <c r="F58" s="74">
        <f t="shared" si="1"/>
        <v>0</v>
      </c>
      <c r="I58" s="84" t="str">
        <f t="shared" si="8"/>
        <v/>
      </c>
      <c r="J58" s="84">
        <f t="shared" si="9"/>
        <v>0</v>
      </c>
    </row>
    <row r="59" spans="6:10" ht="15">
      <c r="F59" s="74">
        <f t="shared" si="1"/>
        <v>0</v>
      </c>
      <c r="I59" s="84" t="str">
        <f t="shared" si="8"/>
        <v/>
      </c>
      <c r="J59" s="84">
        <f t="shared" si="9"/>
        <v>0</v>
      </c>
    </row>
    <row r="60" spans="6:10" ht="15">
      <c r="F60" s="74">
        <f t="shared" si="1"/>
        <v>0</v>
      </c>
      <c r="I60" s="84" t="str">
        <f t="shared" si="8"/>
        <v/>
      </c>
      <c r="J60" s="84">
        <f t="shared" si="9"/>
        <v>0</v>
      </c>
    </row>
    <row r="61" spans="6:10" ht="15">
      <c r="F61" s="74">
        <f t="shared" si="1"/>
        <v>0</v>
      </c>
      <c r="I61" s="84" t="str">
        <f t="shared" si="8"/>
        <v/>
      </c>
      <c r="J61" s="84">
        <f t="shared" si="9"/>
        <v>0</v>
      </c>
    </row>
    <row r="62" spans="6:10" ht="15">
      <c r="F62" s="74">
        <f t="shared" si="1"/>
        <v>0</v>
      </c>
      <c r="I62" s="84" t="str">
        <f t="shared" si="8"/>
        <v/>
      </c>
      <c r="J62" s="84">
        <f t="shared" si="9"/>
        <v>0</v>
      </c>
    </row>
    <row r="63" spans="6:10" ht="15">
      <c r="F63" s="74">
        <f t="shared" si="1"/>
        <v>0</v>
      </c>
      <c r="I63" s="84" t="str">
        <f t="shared" si="8"/>
        <v/>
      </c>
      <c r="J63" s="84">
        <f t="shared" si="9"/>
        <v>0</v>
      </c>
    </row>
    <row r="64" spans="6:10" ht="15">
      <c r="F64" s="74">
        <f t="shared" si="1"/>
        <v>0</v>
      </c>
      <c r="I64" s="84" t="str">
        <f t="shared" si="8"/>
        <v/>
      </c>
      <c r="J64" s="84">
        <f t="shared" si="9"/>
        <v>0</v>
      </c>
    </row>
    <row r="65" spans="6:10" ht="15">
      <c r="F65" s="74">
        <f t="shared" si="1"/>
        <v>0</v>
      </c>
      <c r="I65" s="84" t="str">
        <f t="shared" si="8"/>
        <v/>
      </c>
      <c r="J65" s="84">
        <f t="shared" si="9"/>
        <v>0</v>
      </c>
    </row>
    <row r="66" spans="6:10" ht="15">
      <c r="F66" s="74">
        <f t="shared" si="1"/>
        <v>0</v>
      </c>
      <c r="I66" s="84" t="str">
        <f t="shared" si="8"/>
        <v/>
      </c>
      <c r="J66" s="84">
        <f t="shared" si="9"/>
        <v>0</v>
      </c>
    </row>
    <row r="67" spans="6:10" ht="15">
      <c r="F67" s="74">
        <f t="shared" si="1"/>
        <v>0</v>
      </c>
      <c r="I67" s="84" t="str">
        <f t="shared" si="8"/>
        <v/>
      </c>
      <c r="J67" s="84">
        <f t="shared" si="9"/>
        <v>0</v>
      </c>
    </row>
    <row r="68" spans="6:10" ht="15">
      <c r="F68" s="74">
        <f t="shared" si="1"/>
        <v>0</v>
      </c>
      <c r="I68" s="84" t="str">
        <f t="shared" si="8"/>
        <v/>
      </c>
      <c r="J68" s="84">
        <f t="shared" si="9"/>
        <v>0</v>
      </c>
    </row>
    <row r="69" spans="6:10" ht="15">
      <c r="F69" s="74">
        <f t="shared" si="1"/>
        <v>0</v>
      </c>
      <c r="I69" s="84" t="str">
        <f t="shared" si="8"/>
        <v/>
      </c>
      <c r="J69" s="84">
        <f t="shared" si="9"/>
        <v>0</v>
      </c>
    </row>
    <row r="70" spans="6:10" ht="15">
      <c r="F70" s="74">
        <f t="shared" si="1"/>
        <v>0</v>
      </c>
      <c r="I70" s="84" t="str">
        <f t="shared" si="8"/>
        <v/>
      </c>
      <c r="J70" s="84">
        <f t="shared" si="9"/>
        <v>0</v>
      </c>
    </row>
    <row r="71" spans="6:10" ht="15">
      <c r="F71" s="74">
        <f aca="true" t="shared" si="10" ref="F71:F134">D71</f>
        <v>0</v>
      </c>
      <c r="I71" s="84" t="str">
        <f t="shared" si="8"/>
        <v/>
      </c>
      <c r="J71" s="84">
        <f t="shared" si="9"/>
        <v>0</v>
      </c>
    </row>
    <row r="72" spans="6:10" ht="15">
      <c r="F72" s="74">
        <f t="shared" si="10"/>
        <v>0</v>
      </c>
      <c r="I72" s="84" t="str">
        <f t="shared" si="8"/>
        <v/>
      </c>
      <c r="J72" s="84">
        <f t="shared" si="9"/>
        <v>0</v>
      </c>
    </row>
    <row r="73" spans="6:10" ht="15">
      <c r="F73" s="74">
        <f t="shared" si="10"/>
        <v>0</v>
      </c>
      <c r="I73" s="84" t="str">
        <f t="shared" si="8"/>
        <v/>
      </c>
      <c r="J73" s="84">
        <f t="shared" si="9"/>
        <v>0</v>
      </c>
    </row>
    <row r="74" spans="6:10" ht="15">
      <c r="F74" s="74">
        <f t="shared" si="10"/>
        <v>0</v>
      </c>
      <c r="I74" s="84" t="str">
        <f t="shared" si="8"/>
        <v/>
      </c>
      <c r="J74" s="84">
        <f t="shared" si="9"/>
        <v>0</v>
      </c>
    </row>
    <row r="75" spans="6:10" ht="15">
      <c r="F75" s="74">
        <f t="shared" si="10"/>
        <v>0</v>
      </c>
      <c r="I75" s="84" t="str">
        <f t="shared" si="8"/>
        <v/>
      </c>
      <c r="J75" s="84">
        <f t="shared" si="9"/>
        <v>0</v>
      </c>
    </row>
    <row r="76" spans="6:10" ht="15">
      <c r="F76" s="74">
        <f t="shared" si="10"/>
        <v>0</v>
      </c>
      <c r="I76" s="84" t="str">
        <f t="shared" si="8"/>
        <v/>
      </c>
      <c r="J76" s="84">
        <f t="shared" si="9"/>
        <v>0</v>
      </c>
    </row>
    <row r="77" spans="6:10" ht="15">
      <c r="F77" s="74">
        <f t="shared" si="10"/>
        <v>0</v>
      </c>
      <c r="I77" s="84" t="str">
        <f t="shared" si="8"/>
        <v/>
      </c>
      <c r="J77" s="84">
        <f t="shared" si="9"/>
        <v>0</v>
      </c>
    </row>
    <row r="78" spans="6:10" ht="15">
      <c r="F78" s="74">
        <f t="shared" si="10"/>
        <v>0</v>
      </c>
      <c r="I78" s="84" t="str">
        <f t="shared" si="8"/>
        <v/>
      </c>
      <c r="J78" s="84">
        <f t="shared" si="9"/>
        <v>0</v>
      </c>
    </row>
    <row r="79" spans="6:10" ht="15">
      <c r="F79" s="74">
        <f t="shared" si="10"/>
        <v>0</v>
      </c>
      <c r="I79" s="84" t="str">
        <f t="shared" si="8"/>
        <v/>
      </c>
      <c r="J79" s="84">
        <f t="shared" si="9"/>
        <v>0</v>
      </c>
    </row>
    <row r="80" spans="6:10" ht="15">
      <c r="F80" s="74">
        <f t="shared" si="10"/>
        <v>0</v>
      </c>
      <c r="I80" s="84" t="str">
        <f t="shared" si="8"/>
        <v/>
      </c>
      <c r="J80" s="84">
        <f t="shared" si="9"/>
        <v>0</v>
      </c>
    </row>
    <row r="81" spans="6:10" ht="15">
      <c r="F81" s="74">
        <f t="shared" si="10"/>
        <v>0</v>
      </c>
      <c r="I81" s="84" t="str">
        <f t="shared" si="8"/>
        <v/>
      </c>
      <c r="J81" s="84">
        <f t="shared" si="9"/>
        <v>0</v>
      </c>
    </row>
    <row r="82" spans="6:10" ht="15">
      <c r="F82" s="74">
        <f t="shared" si="10"/>
        <v>0</v>
      </c>
      <c r="I82" s="84" t="str">
        <f t="shared" si="8"/>
        <v/>
      </c>
      <c r="J82" s="84">
        <f t="shared" si="9"/>
        <v>0</v>
      </c>
    </row>
    <row r="83" spans="6:10" ht="15">
      <c r="F83" s="74">
        <f t="shared" si="10"/>
        <v>0</v>
      </c>
      <c r="I83" s="84" t="str">
        <f t="shared" si="8"/>
        <v/>
      </c>
      <c r="J83" s="84">
        <f t="shared" si="9"/>
        <v>0</v>
      </c>
    </row>
    <row r="84" spans="6:10" ht="15">
      <c r="F84" s="74">
        <f t="shared" si="10"/>
        <v>0</v>
      </c>
      <c r="I84" s="84" t="str">
        <f t="shared" si="8"/>
        <v/>
      </c>
      <c r="J84" s="84">
        <f t="shared" si="9"/>
        <v>0</v>
      </c>
    </row>
    <row r="85" spans="6:10" ht="15">
      <c r="F85" s="74">
        <f t="shared" si="10"/>
        <v>0</v>
      </c>
      <c r="I85" s="84" t="str">
        <f t="shared" si="8"/>
        <v/>
      </c>
      <c r="J85" s="84">
        <f t="shared" si="9"/>
        <v>0</v>
      </c>
    </row>
    <row r="86" spans="6:10" ht="15">
      <c r="F86" s="74">
        <f t="shared" si="10"/>
        <v>0</v>
      </c>
      <c r="I86" s="84" t="str">
        <f t="shared" si="8"/>
        <v/>
      </c>
      <c r="J86" s="84">
        <f t="shared" si="9"/>
        <v>0</v>
      </c>
    </row>
    <row r="87" spans="6:10" ht="15">
      <c r="F87" s="74">
        <f t="shared" si="10"/>
        <v>0</v>
      </c>
      <c r="I87" s="84" t="str">
        <f t="shared" si="8"/>
        <v/>
      </c>
      <c r="J87" s="84">
        <f t="shared" si="9"/>
        <v>0</v>
      </c>
    </row>
    <row r="88" spans="6:10" ht="15">
      <c r="F88" s="74">
        <f t="shared" si="10"/>
        <v>0</v>
      </c>
      <c r="I88" s="84" t="str">
        <f t="shared" si="8"/>
        <v/>
      </c>
      <c r="J88" s="84">
        <f t="shared" si="9"/>
        <v>0</v>
      </c>
    </row>
    <row r="89" spans="6:10" ht="15">
      <c r="F89" s="74">
        <f t="shared" si="10"/>
        <v>0</v>
      </c>
      <c r="I89" s="84" t="str">
        <f aca="true" t="shared" si="11" ref="I89:I152">IF(C89&gt;0,1,"")</f>
        <v/>
      </c>
      <c r="J89" s="84">
        <f aca="true" t="shared" si="12" ref="J89:J152">_xlfn.IFERROR(IF(AND(SUM(E89:H89)&gt;1000,I89&gt;0),((ROUNDUP(SUM(E89:H89)/1000,0)-1)*I89),0),0)</f>
        <v>0</v>
      </c>
    </row>
    <row r="90" spans="6:10" ht="15">
      <c r="F90" s="74">
        <f t="shared" si="10"/>
        <v>0</v>
      </c>
      <c r="I90" s="84" t="str">
        <f t="shared" si="11"/>
        <v/>
      </c>
      <c r="J90" s="84">
        <f t="shared" si="12"/>
        <v>0</v>
      </c>
    </row>
    <row r="91" spans="6:10" ht="15">
      <c r="F91" s="74">
        <f t="shared" si="10"/>
        <v>0</v>
      </c>
      <c r="I91" s="84" t="str">
        <f t="shared" si="11"/>
        <v/>
      </c>
      <c r="J91" s="84">
        <f t="shared" si="12"/>
        <v>0</v>
      </c>
    </row>
    <row r="92" spans="6:10" ht="15">
      <c r="F92" s="74">
        <f t="shared" si="10"/>
        <v>0</v>
      </c>
      <c r="I92" s="84" t="str">
        <f t="shared" si="11"/>
        <v/>
      </c>
      <c r="J92" s="84">
        <f t="shared" si="12"/>
        <v>0</v>
      </c>
    </row>
    <row r="93" spans="6:10" ht="15">
      <c r="F93" s="74">
        <f t="shared" si="10"/>
        <v>0</v>
      </c>
      <c r="I93" s="84" t="str">
        <f t="shared" si="11"/>
        <v/>
      </c>
      <c r="J93" s="84">
        <f t="shared" si="12"/>
        <v>0</v>
      </c>
    </row>
    <row r="94" spans="6:10" ht="15">
      <c r="F94" s="74">
        <f t="shared" si="10"/>
        <v>0</v>
      </c>
      <c r="I94" s="84" t="str">
        <f t="shared" si="11"/>
        <v/>
      </c>
      <c r="J94" s="84">
        <f t="shared" si="12"/>
        <v>0</v>
      </c>
    </row>
    <row r="95" spans="6:10" ht="15">
      <c r="F95" s="74">
        <f t="shared" si="10"/>
        <v>0</v>
      </c>
      <c r="I95" s="84" t="str">
        <f t="shared" si="11"/>
        <v/>
      </c>
      <c r="J95" s="84">
        <f t="shared" si="12"/>
        <v>0</v>
      </c>
    </row>
    <row r="96" spans="6:10" ht="15">
      <c r="F96" s="74">
        <f t="shared" si="10"/>
        <v>0</v>
      </c>
      <c r="I96" s="84" t="str">
        <f t="shared" si="11"/>
        <v/>
      </c>
      <c r="J96" s="84">
        <f t="shared" si="12"/>
        <v>0</v>
      </c>
    </row>
    <row r="97" spans="6:10" ht="15">
      <c r="F97" s="74">
        <f t="shared" si="10"/>
        <v>0</v>
      </c>
      <c r="I97" s="84" t="str">
        <f t="shared" si="11"/>
        <v/>
      </c>
      <c r="J97" s="84">
        <f t="shared" si="12"/>
        <v>0</v>
      </c>
    </row>
    <row r="98" spans="6:10" ht="15">
      <c r="F98" s="74">
        <f t="shared" si="10"/>
        <v>0</v>
      </c>
      <c r="I98" s="84" t="str">
        <f t="shared" si="11"/>
        <v/>
      </c>
      <c r="J98" s="84">
        <f t="shared" si="12"/>
        <v>0</v>
      </c>
    </row>
    <row r="99" spans="6:10" ht="15">
      <c r="F99" s="74">
        <f t="shared" si="10"/>
        <v>0</v>
      </c>
      <c r="I99" s="84" t="str">
        <f t="shared" si="11"/>
        <v/>
      </c>
      <c r="J99" s="84">
        <f t="shared" si="12"/>
        <v>0</v>
      </c>
    </row>
    <row r="100" spans="6:10" ht="15">
      <c r="F100" s="74">
        <f t="shared" si="10"/>
        <v>0</v>
      </c>
      <c r="I100" s="84" t="str">
        <f t="shared" si="11"/>
        <v/>
      </c>
      <c r="J100" s="84">
        <f t="shared" si="12"/>
        <v>0</v>
      </c>
    </row>
    <row r="101" spans="6:10" ht="15">
      <c r="F101" s="74">
        <f t="shared" si="10"/>
        <v>0</v>
      </c>
      <c r="I101" s="84" t="str">
        <f t="shared" si="11"/>
        <v/>
      </c>
      <c r="J101" s="84">
        <f t="shared" si="12"/>
        <v>0</v>
      </c>
    </row>
    <row r="102" spans="6:10" ht="15">
      <c r="F102" s="74">
        <f t="shared" si="10"/>
        <v>0</v>
      </c>
      <c r="I102" s="84" t="str">
        <f t="shared" si="11"/>
        <v/>
      </c>
      <c r="J102" s="84">
        <f t="shared" si="12"/>
        <v>0</v>
      </c>
    </row>
    <row r="103" spans="6:10" ht="15">
      <c r="F103" s="74">
        <f t="shared" si="10"/>
        <v>0</v>
      </c>
      <c r="I103" s="84" t="str">
        <f t="shared" si="11"/>
        <v/>
      </c>
      <c r="J103" s="84">
        <f t="shared" si="12"/>
        <v>0</v>
      </c>
    </row>
    <row r="104" spans="6:10" ht="15">
      <c r="F104" s="74">
        <f t="shared" si="10"/>
        <v>0</v>
      </c>
      <c r="I104" s="84" t="str">
        <f t="shared" si="11"/>
        <v/>
      </c>
      <c r="J104" s="84">
        <f t="shared" si="12"/>
        <v>0</v>
      </c>
    </row>
    <row r="105" spans="6:10" ht="15">
      <c r="F105" s="74">
        <f t="shared" si="10"/>
        <v>0</v>
      </c>
      <c r="I105" s="84" t="str">
        <f t="shared" si="11"/>
        <v/>
      </c>
      <c r="J105" s="84">
        <f t="shared" si="12"/>
        <v>0</v>
      </c>
    </row>
    <row r="106" spans="6:10" ht="15">
      <c r="F106" s="74">
        <f t="shared" si="10"/>
        <v>0</v>
      </c>
      <c r="I106" s="84" t="str">
        <f t="shared" si="11"/>
        <v/>
      </c>
      <c r="J106" s="84">
        <f t="shared" si="12"/>
        <v>0</v>
      </c>
    </row>
    <row r="107" spans="6:10" ht="15">
      <c r="F107" s="74">
        <f t="shared" si="10"/>
        <v>0</v>
      </c>
      <c r="I107" s="84" t="str">
        <f t="shared" si="11"/>
        <v/>
      </c>
      <c r="J107" s="84">
        <f t="shared" si="12"/>
        <v>0</v>
      </c>
    </row>
    <row r="108" spans="6:10" ht="15">
      <c r="F108" s="74">
        <f t="shared" si="10"/>
        <v>0</v>
      </c>
      <c r="I108" s="84" t="str">
        <f t="shared" si="11"/>
        <v/>
      </c>
      <c r="J108" s="84">
        <f t="shared" si="12"/>
        <v>0</v>
      </c>
    </row>
    <row r="109" spans="6:10" ht="15">
      <c r="F109" s="74">
        <f t="shared" si="10"/>
        <v>0</v>
      </c>
      <c r="I109" s="84" t="str">
        <f t="shared" si="11"/>
        <v/>
      </c>
      <c r="J109" s="84">
        <f t="shared" si="12"/>
        <v>0</v>
      </c>
    </row>
    <row r="110" spans="6:10" ht="15">
      <c r="F110" s="74">
        <f t="shared" si="10"/>
        <v>0</v>
      </c>
      <c r="I110" s="84" t="str">
        <f t="shared" si="11"/>
        <v/>
      </c>
      <c r="J110" s="84">
        <f t="shared" si="12"/>
        <v>0</v>
      </c>
    </row>
    <row r="111" spans="6:10" ht="15">
      <c r="F111" s="74">
        <f t="shared" si="10"/>
        <v>0</v>
      </c>
      <c r="I111" s="84" t="str">
        <f t="shared" si="11"/>
        <v/>
      </c>
      <c r="J111" s="84">
        <f t="shared" si="12"/>
        <v>0</v>
      </c>
    </row>
    <row r="112" spans="6:10" ht="15">
      <c r="F112" s="74">
        <f t="shared" si="10"/>
        <v>0</v>
      </c>
      <c r="I112" s="84" t="str">
        <f t="shared" si="11"/>
        <v/>
      </c>
      <c r="J112" s="84">
        <f t="shared" si="12"/>
        <v>0</v>
      </c>
    </row>
    <row r="113" spans="6:10" ht="15">
      <c r="F113" s="74">
        <f t="shared" si="10"/>
        <v>0</v>
      </c>
      <c r="I113" s="84" t="str">
        <f t="shared" si="11"/>
        <v/>
      </c>
      <c r="J113" s="84">
        <f t="shared" si="12"/>
        <v>0</v>
      </c>
    </row>
    <row r="114" spans="6:10" ht="15">
      <c r="F114" s="74">
        <f t="shared" si="10"/>
        <v>0</v>
      </c>
      <c r="I114" s="84" t="str">
        <f t="shared" si="11"/>
        <v/>
      </c>
      <c r="J114" s="84">
        <f t="shared" si="12"/>
        <v>0</v>
      </c>
    </row>
    <row r="115" spans="6:10" ht="15">
      <c r="F115" s="74">
        <f t="shared" si="10"/>
        <v>0</v>
      </c>
      <c r="I115" s="84" t="str">
        <f t="shared" si="11"/>
        <v/>
      </c>
      <c r="J115" s="84">
        <f t="shared" si="12"/>
        <v>0</v>
      </c>
    </row>
    <row r="116" spans="6:10" ht="15">
      <c r="F116" s="74">
        <f t="shared" si="10"/>
        <v>0</v>
      </c>
      <c r="I116" s="84" t="str">
        <f t="shared" si="11"/>
        <v/>
      </c>
      <c r="J116" s="84">
        <f t="shared" si="12"/>
        <v>0</v>
      </c>
    </row>
    <row r="117" spans="6:10" ht="15">
      <c r="F117" s="74">
        <f t="shared" si="10"/>
        <v>0</v>
      </c>
      <c r="I117" s="84" t="str">
        <f t="shared" si="11"/>
        <v/>
      </c>
      <c r="J117" s="84">
        <f t="shared" si="12"/>
        <v>0</v>
      </c>
    </row>
    <row r="118" spans="6:10" ht="15">
      <c r="F118" s="74">
        <f t="shared" si="10"/>
        <v>0</v>
      </c>
      <c r="I118" s="84" t="str">
        <f t="shared" si="11"/>
        <v/>
      </c>
      <c r="J118" s="84">
        <f t="shared" si="12"/>
        <v>0</v>
      </c>
    </row>
    <row r="119" spans="6:10" ht="15">
      <c r="F119" s="74">
        <f t="shared" si="10"/>
        <v>0</v>
      </c>
      <c r="I119" s="84" t="str">
        <f t="shared" si="11"/>
        <v/>
      </c>
      <c r="J119" s="84">
        <f t="shared" si="12"/>
        <v>0</v>
      </c>
    </row>
    <row r="120" spans="6:10" ht="15">
      <c r="F120" s="74">
        <f t="shared" si="10"/>
        <v>0</v>
      </c>
      <c r="I120" s="84" t="str">
        <f t="shared" si="11"/>
        <v/>
      </c>
      <c r="J120" s="84">
        <f t="shared" si="12"/>
        <v>0</v>
      </c>
    </row>
    <row r="121" spans="6:10" ht="15">
      <c r="F121" s="74">
        <f t="shared" si="10"/>
        <v>0</v>
      </c>
      <c r="I121" s="84" t="str">
        <f t="shared" si="11"/>
        <v/>
      </c>
      <c r="J121" s="84">
        <f t="shared" si="12"/>
        <v>0</v>
      </c>
    </row>
    <row r="122" spans="6:10" ht="15">
      <c r="F122" s="74">
        <f t="shared" si="10"/>
        <v>0</v>
      </c>
      <c r="I122" s="84" t="str">
        <f t="shared" si="11"/>
        <v/>
      </c>
      <c r="J122" s="84">
        <f t="shared" si="12"/>
        <v>0</v>
      </c>
    </row>
    <row r="123" spans="6:10" ht="15">
      <c r="F123" s="74">
        <f t="shared" si="10"/>
        <v>0</v>
      </c>
      <c r="I123" s="84" t="str">
        <f t="shared" si="11"/>
        <v/>
      </c>
      <c r="J123" s="84">
        <f t="shared" si="12"/>
        <v>0</v>
      </c>
    </row>
    <row r="124" spans="6:10" ht="15">
      <c r="F124" s="74">
        <f t="shared" si="10"/>
        <v>0</v>
      </c>
      <c r="I124" s="84" t="str">
        <f t="shared" si="11"/>
        <v/>
      </c>
      <c r="J124" s="84">
        <f t="shared" si="12"/>
        <v>0</v>
      </c>
    </row>
    <row r="125" spans="6:10" ht="15">
      <c r="F125" s="74">
        <f t="shared" si="10"/>
        <v>0</v>
      </c>
      <c r="I125" s="84" t="str">
        <f t="shared" si="11"/>
        <v/>
      </c>
      <c r="J125" s="84">
        <f t="shared" si="12"/>
        <v>0</v>
      </c>
    </row>
    <row r="126" spans="6:10" ht="15">
      <c r="F126" s="74">
        <f t="shared" si="10"/>
        <v>0</v>
      </c>
      <c r="I126" s="84" t="str">
        <f t="shared" si="11"/>
        <v/>
      </c>
      <c r="J126" s="84">
        <f t="shared" si="12"/>
        <v>0</v>
      </c>
    </row>
    <row r="127" spans="6:10" ht="15">
      <c r="F127" s="74">
        <f t="shared" si="10"/>
        <v>0</v>
      </c>
      <c r="I127" s="84" t="str">
        <f t="shared" si="11"/>
        <v/>
      </c>
      <c r="J127" s="84">
        <f t="shared" si="12"/>
        <v>0</v>
      </c>
    </row>
    <row r="128" spans="6:10" ht="15">
      <c r="F128" s="74">
        <f t="shared" si="10"/>
        <v>0</v>
      </c>
      <c r="I128" s="84" t="str">
        <f t="shared" si="11"/>
        <v/>
      </c>
      <c r="J128" s="84">
        <f t="shared" si="12"/>
        <v>0</v>
      </c>
    </row>
    <row r="129" spans="6:10" ht="15">
      <c r="F129" s="74">
        <f t="shared" si="10"/>
        <v>0</v>
      </c>
      <c r="I129" s="84" t="str">
        <f t="shared" si="11"/>
        <v/>
      </c>
      <c r="J129" s="84">
        <f t="shared" si="12"/>
        <v>0</v>
      </c>
    </row>
    <row r="130" spans="6:10" ht="15">
      <c r="F130" s="74">
        <f t="shared" si="10"/>
        <v>0</v>
      </c>
      <c r="I130" s="84" t="str">
        <f t="shared" si="11"/>
        <v/>
      </c>
      <c r="J130" s="84">
        <f t="shared" si="12"/>
        <v>0</v>
      </c>
    </row>
    <row r="131" spans="6:10" ht="15">
      <c r="F131" s="74">
        <f t="shared" si="10"/>
        <v>0</v>
      </c>
      <c r="I131" s="84" t="str">
        <f t="shared" si="11"/>
        <v/>
      </c>
      <c r="J131" s="84">
        <f t="shared" si="12"/>
        <v>0</v>
      </c>
    </row>
    <row r="132" spans="6:10" ht="15">
      <c r="F132" s="74">
        <f t="shared" si="10"/>
        <v>0</v>
      </c>
      <c r="I132" s="84" t="str">
        <f t="shared" si="11"/>
        <v/>
      </c>
      <c r="J132" s="84">
        <f t="shared" si="12"/>
        <v>0</v>
      </c>
    </row>
    <row r="133" spans="6:10" ht="15">
      <c r="F133" s="74">
        <f t="shared" si="10"/>
        <v>0</v>
      </c>
      <c r="I133" s="84" t="str">
        <f t="shared" si="11"/>
        <v/>
      </c>
      <c r="J133" s="84">
        <f t="shared" si="12"/>
        <v>0</v>
      </c>
    </row>
    <row r="134" spans="6:10" ht="15">
      <c r="F134" s="74">
        <f t="shared" si="10"/>
        <v>0</v>
      </c>
      <c r="I134" s="84" t="str">
        <f t="shared" si="11"/>
        <v/>
      </c>
      <c r="J134" s="84">
        <f t="shared" si="12"/>
        <v>0</v>
      </c>
    </row>
    <row r="135" spans="6:10" ht="15">
      <c r="F135" s="74">
        <f aca="true" t="shared" si="13" ref="F135:F198">D135</f>
        <v>0</v>
      </c>
      <c r="I135" s="84" t="str">
        <f t="shared" si="11"/>
        <v/>
      </c>
      <c r="J135" s="84">
        <f t="shared" si="12"/>
        <v>0</v>
      </c>
    </row>
    <row r="136" spans="6:10" ht="15">
      <c r="F136" s="74">
        <f t="shared" si="13"/>
        <v>0</v>
      </c>
      <c r="I136" s="84" t="str">
        <f t="shared" si="11"/>
        <v/>
      </c>
      <c r="J136" s="84">
        <f t="shared" si="12"/>
        <v>0</v>
      </c>
    </row>
    <row r="137" spans="6:10" ht="15">
      <c r="F137" s="74">
        <f t="shared" si="13"/>
        <v>0</v>
      </c>
      <c r="I137" s="84" t="str">
        <f t="shared" si="11"/>
        <v/>
      </c>
      <c r="J137" s="84">
        <f t="shared" si="12"/>
        <v>0</v>
      </c>
    </row>
    <row r="138" spans="6:10" ht="15">
      <c r="F138" s="74">
        <f t="shared" si="13"/>
        <v>0</v>
      </c>
      <c r="I138" s="84" t="str">
        <f t="shared" si="11"/>
        <v/>
      </c>
      <c r="J138" s="84">
        <f t="shared" si="12"/>
        <v>0</v>
      </c>
    </row>
    <row r="139" spans="6:10" ht="15">
      <c r="F139" s="74">
        <f t="shared" si="13"/>
        <v>0</v>
      </c>
      <c r="I139" s="84" t="str">
        <f t="shared" si="11"/>
        <v/>
      </c>
      <c r="J139" s="84">
        <f t="shared" si="12"/>
        <v>0</v>
      </c>
    </row>
    <row r="140" spans="6:10" ht="15">
      <c r="F140" s="74">
        <f t="shared" si="13"/>
        <v>0</v>
      </c>
      <c r="I140" s="84" t="str">
        <f t="shared" si="11"/>
        <v/>
      </c>
      <c r="J140" s="84">
        <f t="shared" si="12"/>
        <v>0</v>
      </c>
    </row>
    <row r="141" spans="6:10" ht="15">
      <c r="F141" s="74">
        <f t="shared" si="13"/>
        <v>0</v>
      </c>
      <c r="I141" s="84" t="str">
        <f t="shared" si="11"/>
        <v/>
      </c>
      <c r="J141" s="84">
        <f t="shared" si="12"/>
        <v>0</v>
      </c>
    </row>
    <row r="142" spans="6:10" ht="15">
      <c r="F142" s="74">
        <f t="shared" si="13"/>
        <v>0</v>
      </c>
      <c r="I142" s="84" t="str">
        <f t="shared" si="11"/>
        <v/>
      </c>
      <c r="J142" s="84">
        <f t="shared" si="12"/>
        <v>0</v>
      </c>
    </row>
    <row r="143" spans="6:10" ht="15">
      <c r="F143" s="74">
        <f t="shared" si="13"/>
        <v>0</v>
      </c>
      <c r="I143" s="84" t="str">
        <f t="shared" si="11"/>
        <v/>
      </c>
      <c r="J143" s="84">
        <f t="shared" si="12"/>
        <v>0</v>
      </c>
    </row>
    <row r="144" spans="6:10" ht="15">
      <c r="F144" s="74">
        <f t="shared" si="13"/>
        <v>0</v>
      </c>
      <c r="I144" s="84" t="str">
        <f t="shared" si="11"/>
        <v/>
      </c>
      <c r="J144" s="84">
        <f t="shared" si="12"/>
        <v>0</v>
      </c>
    </row>
    <row r="145" spans="6:10" ht="15">
      <c r="F145" s="74">
        <f t="shared" si="13"/>
        <v>0</v>
      </c>
      <c r="I145" s="84" t="str">
        <f t="shared" si="11"/>
        <v/>
      </c>
      <c r="J145" s="84">
        <f t="shared" si="12"/>
        <v>0</v>
      </c>
    </row>
    <row r="146" spans="6:10" ht="15">
      <c r="F146" s="74">
        <f t="shared" si="13"/>
        <v>0</v>
      </c>
      <c r="I146" s="84" t="str">
        <f t="shared" si="11"/>
        <v/>
      </c>
      <c r="J146" s="84">
        <f t="shared" si="12"/>
        <v>0</v>
      </c>
    </row>
    <row r="147" spans="6:10" ht="15">
      <c r="F147" s="74">
        <f t="shared" si="13"/>
        <v>0</v>
      </c>
      <c r="I147" s="84" t="str">
        <f t="shared" si="11"/>
        <v/>
      </c>
      <c r="J147" s="84">
        <f t="shared" si="12"/>
        <v>0</v>
      </c>
    </row>
    <row r="148" spans="6:10" ht="15">
      <c r="F148" s="74">
        <f t="shared" si="13"/>
        <v>0</v>
      </c>
      <c r="I148" s="84" t="str">
        <f t="shared" si="11"/>
        <v/>
      </c>
      <c r="J148" s="84">
        <f t="shared" si="12"/>
        <v>0</v>
      </c>
    </row>
    <row r="149" spans="6:10" ht="15">
      <c r="F149" s="74">
        <f t="shared" si="13"/>
        <v>0</v>
      </c>
      <c r="I149" s="84" t="str">
        <f t="shared" si="11"/>
        <v/>
      </c>
      <c r="J149" s="84">
        <f t="shared" si="12"/>
        <v>0</v>
      </c>
    </row>
    <row r="150" spans="6:10" ht="15">
      <c r="F150" s="74">
        <f t="shared" si="13"/>
        <v>0</v>
      </c>
      <c r="I150" s="84" t="str">
        <f t="shared" si="11"/>
        <v/>
      </c>
      <c r="J150" s="84">
        <f t="shared" si="12"/>
        <v>0</v>
      </c>
    </row>
    <row r="151" spans="6:10" ht="15">
      <c r="F151" s="74">
        <f t="shared" si="13"/>
        <v>0</v>
      </c>
      <c r="I151" s="84" t="str">
        <f t="shared" si="11"/>
        <v/>
      </c>
      <c r="J151" s="84">
        <f t="shared" si="12"/>
        <v>0</v>
      </c>
    </row>
    <row r="152" spans="6:10" ht="15">
      <c r="F152" s="74">
        <f t="shared" si="13"/>
        <v>0</v>
      </c>
      <c r="I152" s="84" t="str">
        <f t="shared" si="11"/>
        <v/>
      </c>
      <c r="J152" s="84">
        <f t="shared" si="12"/>
        <v>0</v>
      </c>
    </row>
    <row r="153" spans="6:10" ht="15">
      <c r="F153" s="74">
        <f t="shared" si="13"/>
        <v>0</v>
      </c>
      <c r="I153" s="84" t="str">
        <f aca="true" t="shared" si="14" ref="I153:I216">IF(C153&gt;0,1,"")</f>
        <v/>
      </c>
      <c r="J153" s="84">
        <f aca="true" t="shared" si="15" ref="J153:J216">_xlfn.IFERROR(IF(AND(SUM(E153:H153)&gt;1000,I153&gt;0),((ROUNDUP(SUM(E153:H153)/1000,0)-1)*I153),0),0)</f>
        <v>0</v>
      </c>
    </row>
    <row r="154" spans="6:10" ht="15">
      <c r="F154" s="74">
        <f t="shared" si="13"/>
        <v>0</v>
      </c>
      <c r="I154" s="84" t="str">
        <f t="shared" si="14"/>
        <v/>
      </c>
      <c r="J154" s="84">
        <f t="shared" si="15"/>
        <v>0</v>
      </c>
    </row>
    <row r="155" spans="6:10" ht="15">
      <c r="F155" s="74">
        <f t="shared" si="13"/>
        <v>0</v>
      </c>
      <c r="I155" s="84" t="str">
        <f t="shared" si="14"/>
        <v/>
      </c>
      <c r="J155" s="84">
        <f t="shared" si="15"/>
        <v>0</v>
      </c>
    </row>
    <row r="156" spans="6:10" ht="15">
      <c r="F156" s="74">
        <f t="shared" si="13"/>
        <v>0</v>
      </c>
      <c r="I156" s="84" t="str">
        <f t="shared" si="14"/>
        <v/>
      </c>
      <c r="J156" s="84">
        <f t="shared" si="15"/>
        <v>0</v>
      </c>
    </row>
    <row r="157" spans="6:10" ht="15">
      <c r="F157" s="74">
        <f t="shared" si="13"/>
        <v>0</v>
      </c>
      <c r="I157" s="84" t="str">
        <f t="shared" si="14"/>
        <v/>
      </c>
      <c r="J157" s="84">
        <f t="shared" si="15"/>
        <v>0</v>
      </c>
    </row>
    <row r="158" spans="6:10" ht="15">
      <c r="F158" s="74">
        <f t="shared" si="13"/>
        <v>0</v>
      </c>
      <c r="I158" s="84" t="str">
        <f t="shared" si="14"/>
        <v/>
      </c>
      <c r="J158" s="84">
        <f t="shared" si="15"/>
        <v>0</v>
      </c>
    </row>
    <row r="159" spans="6:10" ht="15">
      <c r="F159" s="74">
        <f t="shared" si="13"/>
        <v>0</v>
      </c>
      <c r="I159" s="84" t="str">
        <f t="shared" si="14"/>
        <v/>
      </c>
      <c r="J159" s="84">
        <f t="shared" si="15"/>
        <v>0</v>
      </c>
    </row>
    <row r="160" spans="6:10" ht="15">
      <c r="F160" s="74">
        <f t="shared" si="13"/>
        <v>0</v>
      </c>
      <c r="I160" s="84" t="str">
        <f t="shared" si="14"/>
        <v/>
      </c>
      <c r="J160" s="84">
        <f t="shared" si="15"/>
        <v>0</v>
      </c>
    </row>
    <row r="161" spans="6:10" ht="15">
      <c r="F161" s="74">
        <f t="shared" si="13"/>
        <v>0</v>
      </c>
      <c r="I161" s="84" t="str">
        <f t="shared" si="14"/>
        <v/>
      </c>
      <c r="J161" s="84">
        <f t="shared" si="15"/>
        <v>0</v>
      </c>
    </row>
    <row r="162" spans="6:10" ht="15">
      <c r="F162" s="74">
        <f t="shared" si="13"/>
        <v>0</v>
      </c>
      <c r="I162" s="84" t="str">
        <f t="shared" si="14"/>
        <v/>
      </c>
      <c r="J162" s="84">
        <f t="shared" si="15"/>
        <v>0</v>
      </c>
    </row>
    <row r="163" spans="6:10" ht="15">
      <c r="F163" s="74">
        <f t="shared" si="13"/>
        <v>0</v>
      </c>
      <c r="I163" s="84" t="str">
        <f t="shared" si="14"/>
        <v/>
      </c>
      <c r="J163" s="84">
        <f t="shared" si="15"/>
        <v>0</v>
      </c>
    </row>
    <row r="164" spans="6:10" ht="15">
      <c r="F164" s="74">
        <f t="shared" si="13"/>
        <v>0</v>
      </c>
      <c r="I164" s="84" t="str">
        <f t="shared" si="14"/>
        <v/>
      </c>
      <c r="J164" s="84">
        <f t="shared" si="15"/>
        <v>0</v>
      </c>
    </row>
    <row r="165" spans="6:10" ht="15">
      <c r="F165" s="74">
        <f t="shared" si="13"/>
        <v>0</v>
      </c>
      <c r="I165" s="84" t="str">
        <f t="shared" si="14"/>
        <v/>
      </c>
      <c r="J165" s="84">
        <f t="shared" si="15"/>
        <v>0</v>
      </c>
    </row>
    <row r="166" spans="6:10" ht="15">
      <c r="F166" s="74">
        <f t="shared" si="13"/>
        <v>0</v>
      </c>
      <c r="I166" s="84" t="str">
        <f t="shared" si="14"/>
        <v/>
      </c>
      <c r="J166" s="84">
        <f t="shared" si="15"/>
        <v>0</v>
      </c>
    </row>
    <row r="167" spans="6:10" ht="15">
      <c r="F167" s="74">
        <f t="shared" si="13"/>
        <v>0</v>
      </c>
      <c r="I167" s="84" t="str">
        <f t="shared" si="14"/>
        <v/>
      </c>
      <c r="J167" s="84">
        <f t="shared" si="15"/>
        <v>0</v>
      </c>
    </row>
    <row r="168" spans="6:10" ht="15">
      <c r="F168" s="74">
        <f t="shared" si="13"/>
        <v>0</v>
      </c>
      <c r="I168" s="84" t="str">
        <f t="shared" si="14"/>
        <v/>
      </c>
      <c r="J168" s="84">
        <f t="shared" si="15"/>
        <v>0</v>
      </c>
    </row>
    <row r="169" spans="6:10" ht="15">
      <c r="F169" s="74">
        <f t="shared" si="13"/>
        <v>0</v>
      </c>
      <c r="I169" s="84" t="str">
        <f t="shared" si="14"/>
        <v/>
      </c>
      <c r="J169" s="84">
        <f t="shared" si="15"/>
        <v>0</v>
      </c>
    </row>
    <row r="170" spans="6:10" ht="15">
      <c r="F170" s="74">
        <f t="shared" si="13"/>
        <v>0</v>
      </c>
      <c r="I170" s="84" t="str">
        <f t="shared" si="14"/>
        <v/>
      </c>
      <c r="J170" s="84">
        <f t="shared" si="15"/>
        <v>0</v>
      </c>
    </row>
    <row r="171" spans="6:10" ht="15">
      <c r="F171" s="74">
        <f t="shared" si="13"/>
        <v>0</v>
      </c>
      <c r="I171" s="84" t="str">
        <f t="shared" si="14"/>
        <v/>
      </c>
      <c r="J171" s="84">
        <f t="shared" si="15"/>
        <v>0</v>
      </c>
    </row>
    <row r="172" spans="6:10" ht="15">
      <c r="F172" s="74">
        <f t="shared" si="13"/>
        <v>0</v>
      </c>
      <c r="I172" s="84" t="str">
        <f t="shared" si="14"/>
        <v/>
      </c>
      <c r="J172" s="84">
        <f t="shared" si="15"/>
        <v>0</v>
      </c>
    </row>
    <row r="173" spans="6:10" ht="15">
      <c r="F173" s="74">
        <f t="shared" si="13"/>
        <v>0</v>
      </c>
      <c r="I173" s="84" t="str">
        <f t="shared" si="14"/>
        <v/>
      </c>
      <c r="J173" s="84">
        <f t="shared" si="15"/>
        <v>0</v>
      </c>
    </row>
    <row r="174" spans="6:10" ht="15">
      <c r="F174" s="74">
        <f t="shared" si="13"/>
        <v>0</v>
      </c>
      <c r="I174" s="84" t="str">
        <f t="shared" si="14"/>
        <v/>
      </c>
      <c r="J174" s="84">
        <f t="shared" si="15"/>
        <v>0</v>
      </c>
    </row>
    <row r="175" spans="6:10" ht="15">
      <c r="F175" s="74">
        <f t="shared" si="13"/>
        <v>0</v>
      </c>
      <c r="I175" s="84" t="str">
        <f t="shared" si="14"/>
        <v/>
      </c>
      <c r="J175" s="84">
        <f t="shared" si="15"/>
        <v>0</v>
      </c>
    </row>
    <row r="176" spans="6:10" ht="15">
      <c r="F176" s="74">
        <f t="shared" si="13"/>
        <v>0</v>
      </c>
      <c r="I176" s="84" t="str">
        <f t="shared" si="14"/>
        <v/>
      </c>
      <c r="J176" s="84">
        <f t="shared" si="15"/>
        <v>0</v>
      </c>
    </row>
    <row r="177" spans="6:10" ht="15">
      <c r="F177" s="74">
        <f t="shared" si="13"/>
        <v>0</v>
      </c>
      <c r="I177" s="84" t="str">
        <f t="shared" si="14"/>
        <v/>
      </c>
      <c r="J177" s="84">
        <f t="shared" si="15"/>
        <v>0</v>
      </c>
    </row>
    <row r="178" spans="6:10" ht="15">
      <c r="F178" s="74">
        <f t="shared" si="13"/>
        <v>0</v>
      </c>
      <c r="I178" s="84" t="str">
        <f t="shared" si="14"/>
        <v/>
      </c>
      <c r="J178" s="84">
        <f t="shared" si="15"/>
        <v>0</v>
      </c>
    </row>
    <row r="179" spans="6:10" ht="15">
      <c r="F179" s="74">
        <f t="shared" si="13"/>
        <v>0</v>
      </c>
      <c r="I179" s="84" t="str">
        <f t="shared" si="14"/>
        <v/>
      </c>
      <c r="J179" s="84">
        <f t="shared" si="15"/>
        <v>0</v>
      </c>
    </row>
    <row r="180" spans="6:10" ht="15">
      <c r="F180" s="74">
        <f t="shared" si="13"/>
        <v>0</v>
      </c>
      <c r="I180" s="84" t="str">
        <f t="shared" si="14"/>
        <v/>
      </c>
      <c r="J180" s="84">
        <f t="shared" si="15"/>
        <v>0</v>
      </c>
    </row>
    <row r="181" spans="6:10" ht="15">
      <c r="F181" s="74">
        <f t="shared" si="13"/>
        <v>0</v>
      </c>
      <c r="I181" s="84" t="str">
        <f t="shared" si="14"/>
        <v/>
      </c>
      <c r="J181" s="84">
        <f t="shared" si="15"/>
        <v>0</v>
      </c>
    </row>
    <row r="182" spans="6:10" ht="15">
      <c r="F182" s="74">
        <f t="shared" si="13"/>
        <v>0</v>
      </c>
      <c r="I182" s="84" t="str">
        <f t="shared" si="14"/>
        <v/>
      </c>
      <c r="J182" s="84">
        <f t="shared" si="15"/>
        <v>0</v>
      </c>
    </row>
    <row r="183" spans="6:10" ht="15">
      <c r="F183" s="74">
        <f t="shared" si="13"/>
        <v>0</v>
      </c>
      <c r="I183" s="84" t="str">
        <f t="shared" si="14"/>
        <v/>
      </c>
      <c r="J183" s="84">
        <f t="shared" si="15"/>
        <v>0</v>
      </c>
    </row>
    <row r="184" spans="6:10" ht="15">
      <c r="F184" s="74">
        <f t="shared" si="13"/>
        <v>0</v>
      </c>
      <c r="I184" s="84" t="str">
        <f t="shared" si="14"/>
        <v/>
      </c>
      <c r="J184" s="84">
        <f t="shared" si="15"/>
        <v>0</v>
      </c>
    </row>
    <row r="185" spans="6:10" ht="15">
      <c r="F185" s="74">
        <f t="shared" si="13"/>
        <v>0</v>
      </c>
      <c r="I185" s="84" t="str">
        <f t="shared" si="14"/>
        <v/>
      </c>
      <c r="J185" s="84">
        <f t="shared" si="15"/>
        <v>0</v>
      </c>
    </row>
    <row r="186" spans="6:10" ht="15">
      <c r="F186" s="74">
        <f t="shared" si="13"/>
        <v>0</v>
      </c>
      <c r="I186" s="84" t="str">
        <f t="shared" si="14"/>
        <v/>
      </c>
      <c r="J186" s="84">
        <f t="shared" si="15"/>
        <v>0</v>
      </c>
    </row>
    <row r="187" spans="6:10" ht="15">
      <c r="F187" s="74">
        <f t="shared" si="13"/>
        <v>0</v>
      </c>
      <c r="I187" s="84" t="str">
        <f t="shared" si="14"/>
        <v/>
      </c>
      <c r="J187" s="84">
        <f t="shared" si="15"/>
        <v>0</v>
      </c>
    </row>
    <row r="188" spans="6:10" ht="15">
      <c r="F188" s="74">
        <f t="shared" si="13"/>
        <v>0</v>
      </c>
      <c r="I188" s="84" t="str">
        <f t="shared" si="14"/>
        <v/>
      </c>
      <c r="J188" s="84">
        <f t="shared" si="15"/>
        <v>0</v>
      </c>
    </row>
    <row r="189" spans="6:10" ht="15">
      <c r="F189" s="74">
        <f t="shared" si="13"/>
        <v>0</v>
      </c>
      <c r="I189" s="84" t="str">
        <f t="shared" si="14"/>
        <v/>
      </c>
      <c r="J189" s="84">
        <f t="shared" si="15"/>
        <v>0</v>
      </c>
    </row>
    <row r="190" spans="6:10" ht="15">
      <c r="F190" s="74">
        <f t="shared" si="13"/>
        <v>0</v>
      </c>
      <c r="I190" s="84" t="str">
        <f t="shared" si="14"/>
        <v/>
      </c>
      <c r="J190" s="84">
        <f t="shared" si="15"/>
        <v>0</v>
      </c>
    </row>
    <row r="191" spans="6:10" ht="15">
      <c r="F191" s="74">
        <f t="shared" si="13"/>
        <v>0</v>
      </c>
      <c r="I191" s="84" t="str">
        <f t="shared" si="14"/>
        <v/>
      </c>
      <c r="J191" s="84">
        <f t="shared" si="15"/>
        <v>0</v>
      </c>
    </row>
    <row r="192" spans="6:10" ht="15">
      <c r="F192" s="74">
        <f t="shared" si="13"/>
        <v>0</v>
      </c>
      <c r="I192" s="84" t="str">
        <f t="shared" si="14"/>
        <v/>
      </c>
      <c r="J192" s="84">
        <f t="shared" si="15"/>
        <v>0</v>
      </c>
    </row>
    <row r="193" spans="6:10" ht="15">
      <c r="F193" s="74">
        <f t="shared" si="13"/>
        <v>0</v>
      </c>
      <c r="I193" s="84" t="str">
        <f t="shared" si="14"/>
        <v/>
      </c>
      <c r="J193" s="84">
        <f t="shared" si="15"/>
        <v>0</v>
      </c>
    </row>
    <row r="194" spans="6:10" ht="15">
      <c r="F194" s="74">
        <f t="shared" si="13"/>
        <v>0</v>
      </c>
      <c r="I194" s="84" t="str">
        <f t="shared" si="14"/>
        <v/>
      </c>
      <c r="J194" s="84">
        <f t="shared" si="15"/>
        <v>0</v>
      </c>
    </row>
    <row r="195" spans="6:10" ht="15">
      <c r="F195" s="74">
        <f t="shared" si="13"/>
        <v>0</v>
      </c>
      <c r="I195" s="84" t="str">
        <f t="shared" si="14"/>
        <v/>
      </c>
      <c r="J195" s="84">
        <f t="shared" si="15"/>
        <v>0</v>
      </c>
    </row>
    <row r="196" spans="6:10" ht="15">
      <c r="F196" s="74">
        <f t="shared" si="13"/>
        <v>0</v>
      </c>
      <c r="I196" s="84" t="str">
        <f t="shared" si="14"/>
        <v/>
      </c>
      <c r="J196" s="84">
        <f t="shared" si="15"/>
        <v>0</v>
      </c>
    </row>
    <row r="197" spans="6:10" ht="15">
      <c r="F197" s="74">
        <f t="shared" si="13"/>
        <v>0</v>
      </c>
      <c r="I197" s="84" t="str">
        <f t="shared" si="14"/>
        <v/>
      </c>
      <c r="J197" s="84">
        <f t="shared" si="15"/>
        <v>0</v>
      </c>
    </row>
    <row r="198" spans="6:10" ht="15">
      <c r="F198" s="74">
        <f t="shared" si="13"/>
        <v>0</v>
      </c>
      <c r="I198" s="84" t="str">
        <f t="shared" si="14"/>
        <v/>
      </c>
      <c r="J198" s="84">
        <f t="shared" si="15"/>
        <v>0</v>
      </c>
    </row>
    <row r="199" spans="6:10" ht="15">
      <c r="F199" s="74">
        <f aca="true" t="shared" si="16" ref="F199:F262">D199</f>
        <v>0</v>
      </c>
      <c r="I199" s="84" t="str">
        <f t="shared" si="14"/>
        <v/>
      </c>
      <c r="J199" s="84">
        <f t="shared" si="15"/>
        <v>0</v>
      </c>
    </row>
    <row r="200" spans="6:10" ht="15">
      <c r="F200" s="74">
        <f t="shared" si="16"/>
        <v>0</v>
      </c>
      <c r="I200" s="84" t="str">
        <f t="shared" si="14"/>
        <v/>
      </c>
      <c r="J200" s="84">
        <f t="shared" si="15"/>
        <v>0</v>
      </c>
    </row>
    <row r="201" spans="6:10" ht="15">
      <c r="F201" s="74">
        <f t="shared" si="16"/>
        <v>0</v>
      </c>
      <c r="I201" s="84" t="str">
        <f t="shared" si="14"/>
        <v/>
      </c>
      <c r="J201" s="84">
        <f t="shared" si="15"/>
        <v>0</v>
      </c>
    </row>
    <row r="202" spans="6:10" ht="15">
      <c r="F202" s="74">
        <f t="shared" si="16"/>
        <v>0</v>
      </c>
      <c r="I202" s="84" t="str">
        <f t="shared" si="14"/>
        <v/>
      </c>
      <c r="J202" s="84">
        <f t="shared" si="15"/>
        <v>0</v>
      </c>
    </row>
    <row r="203" spans="6:10" ht="15">
      <c r="F203" s="74">
        <f t="shared" si="16"/>
        <v>0</v>
      </c>
      <c r="I203" s="84" t="str">
        <f t="shared" si="14"/>
        <v/>
      </c>
      <c r="J203" s="84">
        <f t="shared" si="15"/>
        <v>0</v>
      </c>
    </row>
    <row r="204" spans="6:10" ht="15">
      <c r="F204" s="74">
        <f t="shared" si="16"/>
        <v>0</v>
      </c>
      <c r="I204" s="84" t="str">
        <f t="shared" si="14"/>
        <v/>
      </c>
      <c r="J204" s="84">
        <f t="shared" si="15"/>
        <v>0</v>
      </c>
    </row>
    <row r="205" spans="6:10" ht="15">
      <c r="F205" s="74">
        <f t="shared" si="16"/>
        <v>0</v>
      </c>
      <c r="I205" s="84" t="str">
        <f t="shared" si="14"/>
        <v/>
      </c>
      <c r="J205" s="84">
        <f t="shared" si="15"/>
        <v>0</v>
      </c>
    </row>
    <row r="206" spans="6:10" ht="15">
      <c r="F206" s="74">
        <f t="shared" si="16"/>
        <v>0</v>
      </c>
      <c r="I206" s="84" t="str">
        <f t="shared" si="14"/>
        <v/>
      </c>
      <c r="J206" s="84">
        <f t="shared" si="15"/>
        <v>0</v>
      </c>
    </row>
    <row r="207" spans="6:10" ht="15">
      <c r="F207" s="74">
        <f t="shared" si="16"/>
        <v>0</v>
      </c>
      <c r="I207" s="84" t="str">
        <f t="shared" si="14"/>
        <v/>
      </c>
      <c r="J207" s="84">
        <f t="shared" si="15"/>
        <v>0</v>
      </c>
    </row>
    <row r="208" spans="6:10" ht="15">
      <c r="F208" s="74">
        <f t="shared" si="16"/>
        <v>0</v>
      </c>
      <c r="I208" s="84" t="str">
        <f t="shared" si="14"/>
        <v/>
      </c>
      <c r="J208" s="84">
        <f t="shared" si="15"/>
        <v>0</v>
      </c>
    </row>
    <row r="209" spans="6:10" ht="15">
      <c r="F209" s="74">
        <f t="shared" si="16"/>
        <v>0</v>
      </c>
      <c r="I209" s="84" t="str">
        <f t="shared" si="14"/>
        <v/>
      </c>
      <c r="J209" s="84">
        <f t="shared" si="15"/>
        <v>0</v>
      </c>
    </row>
    <row r="210" spans="6:10" ht="15">
      <c r="F210" s="74">
        <f t="shared" si="16"/>
        <v>0</v>
      </c>
      <c r="I210" s="84" t="str">
        <f t="shared" si="14"/>
        <v/>
      </c>
      <c r="J210" s="84">
        <f t="shared" si="15"/>
        <v>0</v>
      </c>
    </row>
    <row r="211" spans="6:10" ht="15">
      <c r="F211" s="74">
        <f t="shared" si="16"/>
        <v>0</v>
      </c>
      <c r="I211" s="84" t="str">
        <f t="shared" si="14"/>
        <v/>
      </c>
      <c r="J211" s="84">
        <f t="shared" si="15"/>
        <v>0</v>
      </c>
    </row>
    <row r="212" spans="6:10" ht="15">
      <c r="F212" s="74">
        <f t="shared" si="16"/>
        <v>0</v>
      </c>
      <c r="I212" s="84" t="str">
        <f t="shared" si="14"/>
        <v/>
      </c>
      <c r="J212" s="84">
        <f t="shared" si="15"/>
        <v>0</v>
      </c>
    </row>
    <row r="213" spans="6:10" ht="15">
      <c r="F213" s="74">
        <f t="shared" si="16"/>
        <v>0</v>
      </c>
      <c r="I213" s="84" t="str">
        <f t="shared" si="14"/>
        <v/>
      </c>
      <c r="J213" s="84">
        <f t="shared" si="15"/>
        <v>0</v>
      </c>
    </row>
    <row r="214" spans="6:10" ht="15">
      <c r="F214" s="74">
        <f t="shared" si="16"/>
        <v>0</v>
      </c>
      <c r="I214" s="84" t="str">
        <f t="shared" si="14"/>
        <v/>
      </c>
      <c r="J214" s="84">
        <f t="shared" si="15"/>
        <v>0</v>
      </c>
    </row>
    <row r="215" spans="6:10" ht="15">
      <c r="F215" s="74">
        <f t="shared" si="16"/>
        <v>0</v>
      </c>
      <c r="I215" s="84" t="str">
        <f t="shared" si="14"/>
        <v/>
      </c>
      <c r="J215" s="84">
        <f t="shared" si="15"/>
        <v>0</v>
      </c>
    </row>
    <row r="216" spans="6:10" ht="15">
      <c r="F216" s="74">
        <f t="shared" si="16"/>
        <v>0</v>
      </c>
      <c r="I216" s="84" t="str">
        <f t="shared" si="14"/>
        <v/>
      </c>
      <c r="J216" s="84">
        <f t="shared" si="15"/>
        <v>0</v>
      </c>
    </row>
    <row r="217" spans="6:10" ht="15">
      <c r="F217" s="74">
        <f t="shared" si="16"/>
        <v>0</v>
      </c>
      <c r="I217" s="84" t="str">
        <f aca="true" t="shared" si="17" ref="I217:I280">IF(C217&gt;0,1,"")</f>
        <v/>
      </c>
      <c r="J217" s="84">
        <f aca="true" t="shared" si="18" ref="J217:J280">_xlfn.IFERROR(IF(AND(SUM(E217:H217)&gt;1000,I217&gt;0),((ROUNDUP(SUM(E217:H217)/1000,0)-1)*I217),0),0)</f>
        <v>0</v>
      </c>
    </row>
    <row r="218" spans="6:10" ht="15">
      <c r="F218" s="74">
        <f t="shared" si="16"/>
        <v>0</v>
      </c>
      <c r="I218" s="84" t="str">
        <f t="shared" si="17"/>
        <v/>
      </c>
      <c r="J218" s="84">
        <f t="shared" si="18"/>
        <v>0</v>
      </c>
    </row>
    <row r="219" spans="6:10" ht="15">
      <c r="F219" s="74">
        <f t="shared" si="16"/>
        <v>0</v>
      </c>
      <c r="I219" s="84" t="str">
        <f t="shared" si="17"/>
        <v/>
      </c>
      <c r="J219" s="84">
        <f t="shared" si="18"/>
        <v>0</v>
      </c>
    </row>
    <row r="220" spans="6:10" ht="15">
      <c r="F220" s="74">
        <f t="shared" si="16"/>
        <v>0</v>
      </c>
      <c r="I220" s="84" t="str">
        <f t="shared" si="17"/>
        <v/>
      </c>
      <c r="J220" s="84">
        <f t="shared" si="18"/>
        <v>0</v>
      </c>
    </row>
    <row r="221" spans="6:10" ht="15">
      <c r="F221" s="74">
        <f t="shared" si="16"/>
        <v>0</v>
      </c>
      <c r="I221" s="84" t="str">
        <f t="shared" si="17"/>
        <v/>
      </c>
      <c r="J221" s="84">
        <f t="shared" si="18"/>
        <v>0</v>
      </c>
    </row>
    <row r="222" spans="6:10" ht="15">
      <c r="F222" s="74">
        <f t="shared" si="16"/>
        <v>0</v>
      </c>
      <c r="I222" s="84" t="str">
        <f t="shared" si="17"/>
        <v/>
      </c>
      <c r="J222" s="84">
        <f t="shared" si="18"/>
        <v>0</v>
      </c>
    </row>
    <row r="223" spans="6:10" ht="15">
      <c r="F223" s="74">
        <f t="shared" si="16"/>
        <v>0</v>
      </c>
      <c r="I223" s="84" t="str">
        <f t="shared" si="17"/>
        <v/>
      </c>
      <c r="J223" s="84">
        <f t="shared" si="18"/>
        <v>0</v>
      </c>
    </row>
    <row r="224" spans="6:10" ht="15">
      <c r="F224" s="74">
        <f t="shared" si="16"/>
        <v>0</v>
      </c>
      <c r="I224" s="84" t="str">
        <f t="shared" si="17"/>
        <v/>
      </c>
      <c r="J224" s="84">
        <f t="shared" si="18"/>
        <v>0</v>
      </c>
    </row>
    <row r="225" spans="6:10" ht="15">
      <c r="F225" s="74">
        <f t="shared" si="16"/>
        <v>0</v>
      </c>
      <c r="I225" s="84" t="str">
        <f t="shared" si="17"/>
        <v/>
      </c>
      <c r="J225" s="84">
        <f t="shared" si="18"/>
        <v>0</v>
      </c>
    </row>
    <row r="226" spans="6:10" ht="15">
      <c r="F226" s="74">
        <f t="shared" si="16"/>
        <v>0</v>
      </c>
      <c r="I226" s="84" t="str">
        <f t="shared" si="17"/>
        <v/>
      </c>
      <c r="J226" s="84">
        <f t="shared" si="18"/>
        <v>0</v>
      </c>
    </row>
    <row r="227" spans="6:10" ht="15">
      <c r="F227" s="74">
        <f t="shared" si="16"/>
        <v>0</v>
      </c>
      <c r="I227" s="84" t="str">
        <f t="shared" si="17"/>
        <v/>
      </c>
      <c r="J227" s="84">
        <f t="shared" si="18"/>
        <v>0</v>
      </c>
    </row>
    <row r="228" spans="6:10" ht="15">
      <c r="F228" s="74">
        <f t="shared" si="16"/>
        <v>0</v>
      </c>
      <c r="I228" s="84" t="str">
        <f t="shared" si="17"/>
        <v/>
      </c>
      <c r="J228" s="84">
        <f t="shared" si="18"/>
        <v>0</v>
      </c>
    </row>
    <row r="229" spans="6:10" ht="15">
      <c r="F229" s="74">
        <f t="shared" si="16"/>
        <v>0</v>
      </c>
      <c r="I229" s="84" t="str">
        <f t="shared" si="17"/>
        <v/>
      </c>
      <c r="J229" s="84">
        <f t="shared" si="18"/>
        <v>0</v>
      </c>
    </row>
    <row r="230" spans="6:10" ht="15">
      <c r="F230" s="74">
        <f t="shared" si="16"/>
        <v>0</v>
      </c>
      <c r="I230" s="84" t="str">
        <f t="shared" si="17"/>
        <v/>
      </c>
      <c r="J230" s="84">
        <f t="shared" si="18"/>
        <v>0</v>
      </c>
    </row>
    <row r="231" spans="6:10" ht="15">
      <c r="F231" s="74">
        <f t="shared" si="16"/>
        <v>0</v>
      </c>
      <c r="I231" s="84" t="str">
        <f t="shared" si="17"/>
        <v/>
      </c>
      <c r="J231" s="84">
        <f t="shared" si="18"/>
        <v>0</v>
      </c>
    </row>
    <row r="232" spans="6:10" ht="15">
      <c r="F232" s="74">
        <f t="shared" si="16"/>
        <v>0</v>
      </c>
      <c r="I232" s="84" t="str">
        <f t="shared" si="17"/>
        <v/>
      </c>
      <c r="J232" s="84">
        <f t="shared" si="18"/>
        <v>0</v>
      </c>
    </row>
    <row r="233" spans="6:10" ht="15">
      <c r="F233" s="74">
        <f t="shared" si="16"/>
        <v>0</v>
      </c>
      <c r="I233" s="84" t="str">
        <f t="shared" si="17"/>
        <v/>
      </c>
      <c r="J233" s="84">
        <f t="shared" si="18"/>
        <v>0</v>
      </c>
    </row>
    <row r="234" spans="6:10" ht="15">
      <c r="F234" s="74">
        <f t="shared" si="16"/>
        <v>0</v>
      </c>
      <c r="I234" s="84" t="str">
        <f t="shared" si="17"/>
        <v/>
      </c>
      <c r="J234" s="84">
        <f t="shared" si="18"/>
        <v>0</v>
      </c>
    </row>
    <row r="235" spans="6:10" ht="15">
      <c r="F235" s="74">
        <f t="shared" si="16"/>
        <v>0</v>
      </c>
      <c r="I235" s="84" t="str">
        <f t="shared" si="17"/>
        <v/>
      </c>
      <c r="J235" s="84">
        <f t="shared" si="18"/>
        <v>0</v>
      </c>
    </row>
    <row r="236" spans="6:10" ht="15">
      <c r="F236" s="74">
        <f t="shared" si="16"/>
        <v>0</v>
      </c>
      <c r="I236" s="84" t="str">
        <f t="shared" si="17"/>
        <v/>
      </c>
      <c r="J236" s="84">
        <f t="shared" si="18"/>
        <v>0</v>
      </c>
    </row>
    <row r="237" spans="6:10" ht="15">
      <c r="F237" s="74">
        <f t="shared" si="16"/>
        <v>0</v>
      </c>
      <c r="I237" s="84" t="str">
        <f t="shared" si="17"/>
        <v/>
      </c>
      <c r="J237" s="84">
        <f t="shared" si="18"/>
        <v>0</v>
      </c>
    </row>
    <row r="238" spans="6:10" ht="15">
      <c r="F238" s="74">
        <f t="shared" si="16"/>
        <v>0</v>
      </c>
      <c r="I238" s="84" t="str">
        <f t="shared" si="17"/>
        <v/>
      </c>
      <c r="J238" s="84">
        <f t="shared" si="18"/>
        <v>0</v>
      </c>
    </row>
    <row r="239" spans="6:10" ht="15">
      <c r="F239" s="74">
        <f t="shared" si="16"/>
        <v>0</v>
      </c>
      <c r="I239" s="84" t="str">
        <f t="shared" si="17"/>
        <v/>
      </c>
      <c r="J239" s="84">
        <f t="shared" si="18"/>
        <v>0</v>
      </c>
    </row>
    <row r="240" spans="6:10" ht="15">
      <c r="F240" s="74">
        <f t="shared" si="16"/>
        <v>0</v>
      </c>
      <c r="I240" s="84" t="str">
        <f t="shared" si="17"/>
        <v/>
      </c>
      <c r="J240" s="84">
        <f t="shared" si="18"/>
        <v>0</v>
      </c>
    </row>
    <row r="241" spans="6:10" ht="15">
      <c r="F241" s="74">
        <f t="shared" si="16"/>
        <v>0</v>
      </c>
      <c r="I241" s="84" t="str">
        <f t="shared" si="17"/>
        <v/>
      </c>
      <c r="J241" s="84">
        <f t="shared" si="18"/>
        <v>0</v>
      </c>
    </row>
    <row r="242" spans="6:10" ht="15">
      <c r="F242" s="74">
        <f t="shared" si="16"/>
        <v>0</v>
      </c>
      <c r="I242" s="84" t="str">
        <f t="shared" si="17"/>
        <v/>
      </c>
      <c r="J242" s="84">
        <f t="shared" si="18"/>
        <v>0</v>
      </c>
    </row>
    <row r="243" spans="6:10" ht="15">
      <c r="F243" s="74">
        <f t="shared" si="16"/>
        <v>0</v>
      </c>
      <c r="I243" s="84" t="str">
        <f t="shared" si="17"/>
        <v/>
      </c>
      <c r="J243" s="84">
        <f t="shared" si="18"/>
        <v>0</v>
      </c>
    </row>
    <row r="244" spans="6:10" ht="15">
      <c r="F244" s="74">
        <f t="shared" si="16"/>
        <v>0</v>
      </c>
      <c r="I244" s="84" t="str">
        <f t="shared" si="17"/>
        <v/>
      </c>
      <c r="J244" s="84">
        <f t="shared" si="18"/>
        <v>0</v>
      </c>
    </row>
    <row r="245" spans="6:10" ht="15">
      <c r="F245" s="74">
        <f t="shared" si="16"/>
        <v>0</v>
      </c>
      <c r="I245" s="84" t="str">
        <f t="shared" si="17"/>
        <v/>
      </c>
      <c r="J245" s="84">
        <f t="shared" si="18"/>
        <v>0</v>
      </c>
    </row>
    <row r="246" spans="6:10" ht="15">
      <c r="F246" s="74">
        <f t="shared" si="16"/>
        <v>0</v>
      </c>
      <c r="I246" s="84" t="str">
        <f t="shared" si="17"/>
        <v/>
      </c>
      <c r="J246" s="84">
        <f t="shared" si="18"/>
        <v>0</v>
      </c>
    </row>
    <row r="247" spans="6:10" ht="15">
      <c r="F247" s="74">
        <f t="shared" si="16"/>
        <v>0</v>
      </c>
      <c r="I247" s="84" t="str">
        <f t="shared" si="17"/>
        <v/>
      </c>
      <c r="J247" s="84">
        <f t="shared" si="18"/>
        <v>0</v>
      </c>
    </row>
    <row r="248" spans="6:10" ht="15">
      <c r="F248" s="74">
        <f t="shared" si="16"/>
        <v>0</v>
      </c>
      <c r="I248" s="84" t="str">
        <f t="shared" si="17"/>
        <v/>
      </c>
      <c r="J248" s="84">
        <f t="shared" si="18"/>
        <v>0</v>
      </c>
    </row>
    <row r="249" spans="6:10" ht="15">
      <c r="F249" s="74">
        <f t="shared" si="16"/>
        <v>0</v>
      </c>
      <c r="I249" s="84" t="str">
        <f t="shared" si="17"/>
        <v/>
      </c>
      <c r="J249" s="84">
        <f t="shared" si="18"/>
        <v>0</v>
      </c>
    </row>
    <row r="250" spans="6:10" ht="15">
      <c r="F250" s="74">
        <f t="shared" si="16"/>
        <v>0</v>
      </c>
      <c r="I250" s="84" t="str">
        <f t="shared" si="17"/>
        <v/>
      </c>
      <c r="J250" s="84">
        <f t="shared" si="18"/>
        <v>0</v>
      </c>
    </row>
    <row r="251" spans="6:10" ht="15">
      <c r="F251" s="74">
        <f t="shared" si="16"/>
        <v>0</v>
      </c>
      <c r="I251" s="84" t="str">
        <f t="shared" si="17"/>
        <v/>
      </c>
      <c r="J251" s="84">
        <f t="shared" si="18"/>
        <v>0</v>
      </c>
    </row>
    <row r="252" spans="6:10" ht="15">
      <c r="F252" s="74">
        <f t="shared" si="16"/>
        <v>0</v>
      </c>
      <c r="I252" s="84" t="str">
        <f t="shared" si="17"/>
        <v/>
      </c>
      <c r="J252" s="84">
        <f t="shared" si="18"/>
        <v>0</v>
      </c>
    </row>
    <row r="253" spans="6:10" ht="15">
      <c r="F253" s="74">
        <f t="shared" si="16"/>
        <v>0</v>
      </c>
      <c r="I253" s="84" t="str">
        <f t="shared" si="17"/>
        <v/>
      </c>
      <c r="J253" s="84">
        <f t="shared" si="18"/>
        <v>0</v>
      </c>
    </row>
    <row r="254" spans="6:10" ht="15">
      <c r="F254" s="74">
        <f t="shared" si="16"/>
        <v>0</v>
      </c>
      <c r="I254" s="84" t="str">
        <f t="shared" si="17"/>
        <v/>
      </c>
      <c r="J254" s="84">
        <f t="shared" si="18"/>
        <v>0</v>
      </c>
    </row>
    <row r="255" spans="6:10" ht="15">
      <c r="F255" s="74">
        <f t="shared" si="16"/>
        <v>0</v>
      </c>
      <c r="I255" s="84" t="str">
        <f t="shared" si="17"/>
        <v/>
      </c>
      <c r="J255" s="84">
        <f t="shared" si="18"/>
        <v>0</v>
      </c>
    </row>
    <row r="256" spans="6:10" ht="15">
      <c r="F256" s="74">
        <f t="shared" si="16"/>
        <v>0</v>
      </c>
      <c r="I256" s="84" t="str">
        <f t="shared" si="17"/>
        <v/>
      </c>
      <c r="J256" s="84">
        <f t="shared" si="18"/>
        <v>0</v>
      </c>
    </row>
    <row r="257" spans="6:10" ht="15">
      <c r="F257" s="74">
        <f t="shared" si="16"/>
        <v>0</v>
      </c>
      <c r="I257" s="84" t="str">
        <f t="shared" si="17"/>
        <v/>
      </c>
      <c r="J257" s="84">
        <f t="shared" si="18"/>
        <v>0</v>
      </c>
    </row>
    <row r="258" spans="6:10" ht="15">
      <c r="F258" s="74">
        <f t="shared" si="16"/>
        <v>0</v>
      </c>
      <c r="I258" s="84" t="str">
        <f t="shared" si="17"/>
        <v/>
      </c>
      <c r="J258" s="84">
        <f t="shared" si="18"/>
        <v>0</v>
      </c>
    </row>
    <row r="259" spans="6:10" ht="15">
      <c r="F259" s="74">
        <f t="shared" si="16"/>
        <v>0</v>
      </c>
      <c r="I259" s="84" t="str">
        <f t="shared" si="17"/>
        <v/>
      </c>
      <c r="J259" s="84">
        <f t="shared" si="18"/>
        <v>0</v>
      </c>
    </row>
    <row r="260" spans="6:10" ht="15">
      <c r="F260" s="74">
        <f t="shared" si="16"/>
        <v>0</v>
      </c>
      <c r="I260" s="84" t="str">
        <f t="shared" si="17"/>
        <v/>
      </c>
      <c r="J260" s="84">
        <f t="shared" si="18"/>
        <v>0</v>
      </c>
    </row>
    <row r="261" spans="6:10" ht="15">
      <c r="F261" s="74">
        <f t="shared" si="16"/>
        <v>0</v>
      </c>
      <c r="I261" s="84" t="str">
        <f t="shared" si="17"/>
        <v/>
      </c>
      <c r="J261" s="84">
        <f t="shared" si="18"/>
        <v>0</v>
      </c>
    </row>
    <row r="262" spans="6:10" ht="15">
      <c r="F262" s="74">
        <f t="shared" si="16"/>
        <v>0</v>
      </c>
      <c r="I262" s="84" t="str">
        <f t="shared" si="17"/>
        <v/>
      </c>
      <c r="J262" s="84">
        <f t="shared" si="18"/>
        <v>0</v>
      </c>
    </row>
    <row r="263" spans="6:10" ht="15">
      <c r="F263" s="74">
        <f aca="true" t="shared" si="19" ref="F263:F326">D263</f>
        <v>0</v>
      </c>
      <c r="I263" s="84" t="str">
        <f t="shared" si="17"/>
        <v/>
      </c>
      <c r="J263" s="84">
        <f t="shared" si="18"/>
        <v>0</v>
      </c>
    </row>
    <row r="264" spans="6:10" ht="15">
      <c r="F264" s="74">
        <f t="shared" si="19"/>
        <v>0</v>
      </c>
      <c r="I264" s="84" t="str">
        <f t="shared" si="17"/>
        <v/>
      </c>
      <c r="J264" s="84">
        <f t="shared" si="18"/>
        <v>0</v>
      </c>
    </row>
    <row r="265" spans="6:10" ht="15">
      <c r="F265" s="74">
        <f t="shared" si="19"/>
        <v>0</v>
      </c>
      <c r="I265" s="84" t="str">
        <f t="shared" si="17"/>
        <v/>
      </c>
      <c r="J265" s="84">
        <f t="shared" si="18"/>
        <v>0</v>
      </c>
    </row>
    <row r="266" spans="6:10" ht="15">
      <c r="F266" s="74">
        <f t="shared" si="19"/>
        <v>0</v>
      </c>
      <c r="I266" s="84" t="str">
        <f t="shared" si="17"/>
        <v/>
      </c>
      <c r="J266" s="84">
        <f t="shared" si="18"/>
        <v>0</v>
      </c>
    </row>
    <row r="267" spans="6:10" ht="15">
      <c r="F267" s="74">
        <f t="shared" si="19"/>
        <v>0</v>
      </c>
      <c r="I267" s="84" t="str">
        <f t="shared" si="17"/>
        <v/>
      </c>
      <c r="J267" s="84">
        <f t="shared" si="18"/>
        <v>0</v>
      </c>
    </row>
    <row r="268" spans="6:10" ht="15">
      <c r="F268" s="74">
        <f t="shared" si="19"/>
        <v>0</v>
      </c>
      <c r="I268" s="84" t="str">
        <f t="shared" si="17"/>
        <v/>
      </c>
      <c r="J268" s="84">
        <f t="shared" si="18"/>
        <v>0</v>
      </c>
    </row>
    <row r="269" spans="6:10" ht="15">
      <c r="F269" s="74">
        <f t="shared" si="19"/>
        <v>0</v>
      </c>
      <c r="I269" s="84" t="str">
        <f t="shared" si="17"/>
        <v/>
      </c>
      <c r="J269" s="84">
        <f t="shared" si="18"/>
        <v>0</v>
      </c>
    </row>
    <row r="270" spans="6:10" ht="15">
      <c r="F270" s="74">
        <f t="shared" si="19"/>
        <v>0</v>
      </c>
      <c r="I270" s="84" t="str">
        <f t="shared" si="17"/>
        <v/>
      </c>
      <c r="J270" s="84">
        <f t="shared" si="18"/>
        <v>0</v>
      </c>
    </row>
    <row r="271" spans="6:10" ht="15">
      <c r="F271" s="74">
        <f t="shared" si="19"/>
        <v>0</v>
      </c>
      <c r="I271" s="84" t="str">
        <f t="shared" si="17"/>
        <v/>
      </c>
      <c r="J271" s="84">
        <f t="shared" si="18"/>
        <v>0</v>
      </c>
    </row>
    <row r="272" spans="6:10" ht="15">
      <c r="F272" s="74">
        <f t="shared" si="19"/>
        <v>0</v>
      </c>
      <c r="I272" s="84" t="str">
        <f t="shared" si="17"/>
        <v/>
      </c>
      <c r="J272" s="84">
        <f t="shared" si="18"/>
        <v>0</v>
      </c>
    </row>
    <row r="273" spans="6:10" ht="15">
      <c r="F273" s="74">
        <f t="shared" si="19"/>
        <v>0</v>
      </c>
      <c r="I273" s="84" t="str">
        <f t="shared" si="17"/>
        <v/>
      </c>
      <c r="J273" s="84">
        <f t="shared" si="18"/>
        <v>0</v>
      </c>
    </row>
    <row r="274" spans="6:10" ht="15">
      <c r="F274" s="74">
        <f t="shared" si="19"/>
        <v>0</v>
      </c>
      <c r="I274" s="84" t="str">
        <f t="shared" si="17"/>
        <v/>
      </c>
      <c r="J274" s="84">
        <f t="shared" si="18"/>
        <v>0</v>
      </c>
    </row>
    <row r="275" spans="6:10" ht="15">
      <c r="F275" s="74">
        <f t="shared" si="19"/>
        <v>0</v>
      </c>
      <c r="I275" s="84" t="str">
        <f t="shared" si="17"/>
        <v/>
      </c>
      <c r="J275" s="84">
        <f t="shared" si="18"/>
        <v>0</v>
      </c>
    </row>
    <row r="276" spans="6:10" ht="15">
      <c r="F276" s="74">
        <f t="shared" si="19"/>
        <v>0</v>
      </c>
      <c r="I276" s="84" t="str">
        <f t="shared" si="17"/>
        <v/>
      </c>
      <c r="J276" s="84">
        <f t="shared" si="18"/>
        <v>0</v>
      </c>
    </row>
    <row r="277" spans="6:10" ht="15">
      <c r="F277" s="74">
        <f t="shared" si="19"/>
        <v>0</v>
      </c>
      <c r="I277" s="84" t="str">
        <f t="shared" si="17"/>
        <v/>
      </c>
      <c r="J277" s="84">
        <f t="shared" si="18"/>
        <v>0</v>
      </c>
    </row>
    <row r="278" spans="6:10" ht="15">
      <c r="F278" s="74">
        <f t="shared" si="19"/>
        <v>0</v>
      </c>
      <c r="I278" s="84" t="str">
        <f t="shared" si="17"/>
        <v/>
      </c>
      <c r="J278" s="84">
        <f t="shared" si="18"/>
        <v>0</v>
      </c>
    </row>
    <row r="279" spans="6:10" ht="15">
      <c r="F279" s="74">
        <f t="shared" si="19"/>
        <v>0</v>
      </c>
      <c r="I279" s="84" t="str">
        <f t="shared" si="17"/>
        <v/>
      </c>
      <c r="J279" s="84">
        <f t="shared" si="18"/>
        <v>0</v>
      </c>
    </row>
    <row r="280" spans="6:10" ht="15">
      <c r="F280" s="74">
        <f t="shared" si="19"/>
        <v>0</v>
      </c>
      <c r="I280" s="84" t="str">
        <f t="shared" si="17"/>
        <v/>
      </c>
      <c r="J280" s="84">
        <f t="shared" si="18"/>
        <v>0</v>
      </c>
    </row>
    <row r="281" spans="6:10" ht="15">
      <c r="F281" s="74">
        <f t="shared" si="19"/>
        <v>0</v>
      </c>
      <c r="I281" s="84" t="str">
        <f aca="true" t="shared" si="20" ref="I281:I344">IF(C281&gt;0,1,"")</f>
        <v/>
      </c>
      <c r="J281" s="84">
        <f aca="true" t="shared" si="21" ref="J281:J344">_xlfn.IFERROR(IF(AND(SUM(E281:H281)&gt;1000,I281&gt;0),((ROUNDUP(SUM(E281:H281)/1000,0)-1)*I281),0),0)</f>
        <v>0</v>
      </c>
    </row>
    <row r="282" spans="6:10" ht="15">
      <c r="F282" s="74">
        <f t="shared" si="19"/>
        <v>0</v>
      </c>
      <c r="I282" s="84" t="str">
        <f t="shared" si="20"/>
        <v/>
      </c>
      <c r="J282" s="84">
        <f t="shared" si="21"/>
        <v>0</v>
      </c>
    </row>
    <row r="283" spans="6:10" ht="15">
      <c r="F283" s="74">
        <f t="shared" si="19"/>
        <v>0</v>
      </c>
      <c r="I283" s="84" t="str">
        <f t="shared" si="20"/>
        <v/>
      </c>
      <c r="J283" s="84">
        <f t="shared" si="21"/>
        <v>0</v>
      </c>
    </row>
    <row r="284" spans="6:10" ht="15">
      <c r="F284" s="74">
        <f t="shared" si="19"/>
        <v>0</v>
      </c>
      <c r="I284" s="84" t="str">
        <f t="shared" si="20"/>
        <v/>
      </c>
      <c r="J284" s="84">
        <f t="shared" si="21"/>
        <v>0</v>
      </c>
    </row>
    <row r="285" spans="6:10" ht="15">
      <c r="F285" s="74">
        <f t="shared" si="19"/>
        <v>0</v>
      </c>
      <c r="I285" s="84" t="str">
        <f t="shared" si="20"/>
        <v/>
      </c>
      <c r="J285" s="84">
        <f t="shared" si="21"/>
        <v>0</v>
      </c>
    </row>
    <row r="286" spans="6:10" ht="15">
      <c r="F286" s="74">
        <f t="shared" si="19"/>
        <v>0</v>
      </c>
      <c r="I286" s="84" t="str">
        <f t="shared" si="20"/>
        <v/>
      </c>
      <c r="J286" s="84">
        <f t="shared" si="21"/>
        <v>0</v>
      </c>
    </row>
    <row r="287" spans="6:10" ht="15">
      <c r="F287" s="74">
        <f t="shared" si="19"/>
        <v>0</v>
      </c>
      <c r="I287" s="84" t="str">
        <f t="shared" si="20"/>
        <v/>
      </c>
      <c r="J287" s="84">
        <f t="shared" si="21"/>
        <v>0</v>
      </c>
    </row>
    <row r="288" spans="6:10" ht="15">
      <c r="F288" s="74">
        <f t="shared" si="19"/>
        <v>0</v>
      </c>
      <c r="I288" s="84" t="str">
        <f t="shared" si="20"/>
        <v/>
      </c>
      <c r="J288" s="84">
        <f t="shared" si="21"/>
        <v>0</v>
      </c>
    </row>
    <row r="289" spans="6:10" ht="15">
      <c r="F289" s="74">
        <f t="shared" si="19"/>
        <v>0</v>
      </c>
      <c r="I289" s="84" t="str">
        <f t="shared" si="20"/>
        <v/>
      </c>
      <c r="J289" s="84">
        <f t="shared" si="21"/>
        <v>0</v>
      </c>
    </row>
    <row r="290" spans="6:10" ht="15">
      <c r="F290" s="74">
        <f t="shared" si="19"/>
        <v>0</v>
      </c>
      <c r="I290" s="84" t="str">
        <f t="shared" si="20"/>
        <v/>
      </c>
      <c r="J290" s="84">
        <f t="shared" si="21"/>
        <v>0</v>
      </c>
    </row>
    <row r="291" spans="6:10" ht="15">
      <c r="F291" s="74">
        <f t="shared" si="19"/>
        <v>0</v>
      </c>
      <c r="I291" s="84" t="str">
        <f t="shared" si="20"/>
        <v/>
      </c>
      <c r="J291" s="84">
        <f t="shared" si="21"/>
        <v>0</v>
      </c>
    </row>
    <row r="292" spans="6:10" ht="15">
      <c r="F292" s="74">
        <f t="shared" si="19"/>
        <v>0</v>
      </c>
      <c r="I292" s="84" t="str">
        <f t="shared" si="20"/>
        <v/>
      </c>
      <c r="J292" s="84">
        <f t="shared" si="21"/>
        <v>0</v>
      </c>
    </row>
    <row r="293" spans="6:10" ht="15">
      <c r="F293" s="74">
        <f t="shared" si="19"/>
        <v>0</v>
      </c>
      <c r="I293" s="84" t="str">
        <f t="shared" si="20"/>
        <v/>
      </c>
      <c r="J293" s="84">
        <f t="shared" si="21"/>
        <v>0</v>
      </c>
    </row>
    <row r="294" spans="6:10" ht="15">
      <c r="F294" s="74">
        <f t="shared" si="19"/>
        <v>0</v>
      </c>
      <c r="I294" s="84" t="str">
        <f t="shared" si="20"/>
        <v/>
      </c>
      <c r="J294" s="84">
        <f t="shared" si="21"/>
        <v>0</v>
      </c>
    </row>
    <row r="295" spans="6:10" ht="15">
      <c r="F295" s="74">
        <f t="shared" si="19"/>
        <v>0</v>
      </c>
      <c r="I295" s="84" t="str">
        <f t="shared" si="20"/>
        <v/>
      </c>
      <c r="J295" s="84">
        <f t="shared" si="21"/>
        <v>0</v>
      </c>
    </row>
    <row r="296" spans="6:10" ht="15">
      <c r="F296" s="74">
        <f t="shared" si="19"/>
        <v>0</v>
      </c>
      <c r="I296" s="84" t="str">
        <f t="shared" si="20"/>
        <v/>
      </c>
      <c r="J296" s="84">
        <f t="shared" si="21"/>
        <v>0</v>
      </c>
    </row>
    <row r="297" spans="6:10" ht="15">
      <c r="F297" s="74">
        <f t="shared" si="19"/>
        <v>0</v>
      </c>
      <c r="I297" s="84" t="str">
        <f t="shared" si="20"/>
        <v/>
      </c>
      <c r="J297" s="84">
        <f t="shared" si="21"/>
        <v>0</v>
      </c>
    </row>
    <row r="298" spans="6:10" ht="15">
      <c r="F298" s="74">
        <f t="shared" si="19"/>
        <v>0</v>
      </c>
      <c r="I298" s="84" t="str">
        <f t="shared" si="20"/>
        <v/>
      </c>
      <c r="J298" s="84">
        <f t="shared" si="21"/>
        <v>0</v>
      </c>
    </row>
    <row r="299" spans="6:10" ht="15">
      <c r="F299" s="74">
        <f t="shared" si="19"/>
        <v>0</v>
      </c>
      <c r="I299" s="84" t="str">
        <f t="shared" si="20"/>
        <v/>
      </c>
      <c r="J299" s="84">
        <f t="shared" si="21"/>
        <v>0</v>
      </c>
    </row>
    <row r="300" spans="6:10" ht="15">
      <c r="F300" s="74">
        <f t="shared" si="19"/>
        <v>0</v>
      </c>
      <c r="I300" s="84" t="str">
        <f t="shared" si="20"/>
        <v/>
      </c>
      <c r="J300" s="84">
        <f t="shared" si="21"/>
        <v>0</v>
      </c>
    </row>
    <row r="301" spans="6:10" ht="15">
      <c r="F301" s="74">
        <f t="shared" si="19"/>
        <v>0</v>
      </c>
      <c r="I301" s="84" t="str">
        <f t="shared" si="20"/>
        <v/>
      </c>
      <c r="J301" s="84">
        <f t="shared" si="21"/>
        <v>0</v>
      </c>
    </row>
    <row r="302" spans="6:10" ht="15">
      <c r="F302" s="74">
        <f t="shared" si="19"/>
        <v>0</v>
      </c>
      <c r="I302" s="84" t="str">
        <f t="shared" si="20"/>
        <v/>
      </c>
      <c r="J302" s="84">
        <f t="shared" si="21"/>
        <v>0</v>
      </c>
    </row>
    <row r="303" spans="6:10" ht="15">
      <c r="F303" s="74">
        <f t="shared" si="19"/>
        <v>0</v>
      </c>
      <c r="I303" s="84" t="str">
        <f t="shared" si="20"/>
        <v/>
      </c>
      <c r="J303" s="84">
        <f t="shared" si="21"/>
        <v>0</v>
      </c>
    </row>
    <row r="304" spans="6:10" ht="15">
      <c r="F304" s="74">
        <f t="shared" si="19"/>
        <v>0</v>
      </c>
      <c r="I304" s="84" t="str">
        <f t="shared" si="20"/>
        <v/>
      </c>
      <c r="J304" s="84">
        <f t="shared" si="21"/>
        <v>0</v>
      </c>
    </row>
    <row r="305" spans="6:10" ht="15">
      <c r="F305" s="74">
        <f t="shared" si="19"/>
        <v>0</v>
      </c>
      <c r="I305" s="84" t="str">
        <f t="shared" si="20"/>
        <v/>
      </c>
      <c r="J305" s="84">
        <f t="shared" si="21"/>
        <v>0</v>
      </c>
    </row>
    <row r="306" spans="6:10" ht="15">
      <c r="F306" s="74">
        <f t="shared" si="19"/>
        <v>0</v>
      </c>
      <c r="I306" s="84" t="str">
        <f t="shared" si="20"/>
        <v/>
      </c>
      <c r="J306" s="84">
        <f t="shared" si="21"/>
        <v>0</v>
      </c>
    </row>
    <row r="307" spans="6:10" ht="15">
      <c r="F307" s="74">
        <f t="shared" si="19"/>
        <v>0</v>
      </c>
      <c r="I307" s="84" t="str">
        <f t="shared" si="20"/>
        <v/>
      </c>
      <c r="J307" s="84">
        <f t="shared" si="21"/>
        <v>0</v>
      </c>
    </row>
    <row r="308" spans="6:10" ht="15">
      <c r="F308" s="74">
        <f t="shared" si="19"/>
        <v>0</v>
      </c>
      <c r="I308" s="84" t="str">
        <f t="shared" si="20"/>
        <v/>
      </c>
      <c r="J308" s="84">
        <f t="shared" si="21"/>
        <v>0</v>
      </c>
    </row>
    <row r="309" spans="6:10" ht="15">
      <c r="F309" s="74">
        <f t="shared" si="19"/>
        <v>0</v>
      </c>
      <c r="I309" s="84" t="str">
        <f t="shared" si="20"/>
        <v/>
      </c>
      <c r="J309" s="84">
        <f t="shared" si="21"/>
        <v>0</v>
      </c>
    </row>
    <row r="310" spans="6:10" ht="15">
      <c r="F310" s="74">
        <f t="shared" si="19"/>
        <v>0</v>
      </c>
      <c r="I310" s="84" t="str">
        <f t="shared" si="20"/>
        <v/>
      </c>
      <c r="J310" s="84">
        <f t="shared" si="21"/>
        <v>0</v>
      </c>
    </row>
    <row r="311" spans="6:10" ht="15">
      <c r="F311" s="74">
        <f t="shared" si="19"/>
        <v>0</v>
      </c>
      <c r="I311" s="84" t="str">
        <f t="shared" si="20"/>
        <v/>
      </c>
      <c r="J311" s="84">
        <f t="shared" si="21"/>
        <v>0</v>
      </c>
    </row>
    <row r="312" spans="6:10" ht="15">
      <c r="F312" s="74">
        <f t="shared" si="19"/>
        <v>0</v>
      </c>
      <c r="I312" s="84" t="str">
        <f t="shared" si="20"/>
        <v/>
      </c>
      <c r="J312" s="84">
        <f t="shared" si="21"/>
        <v>0</v>
      </c>
    </row>
    <row r="313" spans="6:10" ht="15">
      <c r="F313" s="74">
        <f t="shared" si="19"/>
        <v>0</v>
      </c>
      <c r="I313" s="84" t="str">
        <f t="shared" si="20"/>
        <v/>
      </c>
      <c r="J313" s="84">
        <f t="shared" si="21"/>
        <v>0</v>
      </c>
    </row>
    <row r="314" spans="6:10" ht="15">
      <c r="F314" s="74">
        <f t="shared" si="19"/>
        <v>0</v>
      </c>
      <c r="I314" s="84" t="str">
        <f t="shared" si="20"/>
        <v/>
      </c>
      <c r="J314" s="84">
        <f t="shared" si="21"/>
        <v>0</v>
      </c>
    </row>
    <row r="315" spans="6:10" ht="15">
      <c r="F315" s="74">
        <f t="shared" si="19"/>
        <v>0</v>
      </c>
      <c r="I315" s="84" t="str">
        <f t="shared" si="20"/>
        <v/>
      </c>
      <c r="J315" s="84">
        <f t="shared" si="21"/>
        <v>0</v>
      </c>
    </row>
    <row r="316" spans="6:10" ht="15">
      <c r="F316" s="74">
        <f t="shared" si="19"/>
        <v>0</v>
      </c>
      <c r="I316" s="84" t="str">
        <f t="shared" si="20"/>
        <v/>
      </c>
      <c r="J316" s="84">
        <f t="shared" si="21"/>
        <v>0</v>
      </c>
    </row>
    <row r="317" spans="6:10" ht="15">
      <c r="F317" s="74">
        <f t="shared" si="19"/>
        <v>0</v>
      </c>
      <c r="I317" s="84" t="str">
        <f t="shared" si="20"/>
        <v/>
      </c>
      <c r="J317" s="84">
        <f t="shared" si="21"/>
        <v>0</v>
      </c>
    </row>
    <row r="318" spans="6:10" ht="15">
      <c r="F318" s="74">
        <f t="shared" si="19"/>
        <v>0</v>
      </c>
      <c r="I318" s="84" t="str">
        <f t="shared" si="20"/>
        <v/>
      </c>
      <c r="J318" s="84">
        <f t="shared" si="21"/>
        <v>0</v>
      </c>
    </row>
    <row r="319" spans="6:10" ht="15">
      <c r="F319" s="74">
        <f t="shared" si="19"/>
        <v>0</v>
      </c>
      <c r="I319" s="84" t="str">
        <f t="shared" si="20"/>
        <v/>
      </c>
      <c r="J319" s="84">
        <f t="shared" si="21"/>
        <v>0</v>
      </c>
    </row>
    <row r="320" spans="6:10" ht="15">
      <c r="F320" s="74">
        <f t="shared" si="19"/>
        <v>0</v>
      </c>
      <c r="I320" s="84" t="str">
        <f t="shared" si="20"/>
        <v/>
      </c>
      <c r="J320" s="84">
        <f t="shared" si="21"/>
        <v>0</v>
      </c>
    </row>
    <row r="321" spans="6:10" ht="15">
      <c r="F321" s="74">
        <f t="shared" si="19"/>
        <v>0</v>
      </c>
      <c r="I321" s="84" t="str">
        <f t="shared" si="20"/>
        <v/>
      </c>
      <c r="J321" s="84">
        <f t="shared" si="21"/>
        <v>0</v>
      </c>
    </row>
    <row r="322" spans="6:10" ht="15">
      <c r="F322" s="74">
        <f t="shared" si="19"/>
        <v>0</v>
      </c>
      <c r="I322" s="84" t="str">
        <f t="shared" si="20"/>
        <v/>
      </c>
      <c r="J322" s="84">
        <f t="shared" si="21"/>
        <v>0</v>
      </c>
    </row>
    <row r="323" spans="6:10" ht="15">
      <c r="F323" s="74">
        <f t="shared" si="19"/>
        <v>0</v>
      </c>
      <c r="I323" s="84" t="str">
        <f t="shared" si="20"/>
        <v/>
      </c>
      <c r="J323" s="84">
        <f t="shared" si="21"/>
        <v>0</v>
      </c>
    </row>
    <row r="324" spans="6:10" ht="15">
      <c r="F324" s="74">
        <f t="shared" si="19"/>
        <v>0</v>
      </c>
      <c r="I324" s="84" t="str">
        <f t="shared" si="20"/>
        <v/>
      </c>
      <c r="J324" s="84">
        <f t="shared" si="21"/>
        <v>0</v>
      </c>
    </row>
    <row r="325" spans="6:10" ht="15">
      <c r="F325" s="74">
        <f t="shared" si="19"/>
        <v>0</v>
      </c>
      <c r="I325" s="84" t="str">
        <f t="shared" si="20"/>
        <v/>
      </c>
      <c r="J325" s="84">
        <f t="shared" si="21"/>
        <v>0</v>
      </c>
    </row>
    <row r="326" spans="6:10" ht="15">
      <c r="F326" s="74">
        <f t="shared" si="19"/>
        <v>0</v>
      </c>
      <c r="I326" s="84" t="str">
        <f t="shared" si="20"/>
        <v/>
      </c>
      <c r="J326" s="84">
        <f t="shared" si="21"/>
        <v>0</v>
      </c>
    </row>
    <row r="327" spans="6:10" ht="15">
      <c r="F327" s="74">
        <f aca="true" t="shared" si="22" ref="F327:F390">D327</f>
        <v>0</v>
      </c>
      <c r="I327" s="84" t="str">
        <f t="shared" si="20"/>
        <v/>
      </c>
      <c r="J327" s="84">
        <f t="shared" si="21"/>
        <v>0</v>
      </c>
    </row>
    <row r="328" spans="6:10" ht="15">
      <c r="F328" s="74">
        <f t="shared" si="22"/>
        <v>0</v>
      </c>
      <c r="I328" s="84" t="str">
        <f t="shared" si="20"/>
        <v/>
      </c>
      <c r="J328" s="84">
        <f t="shared" si="21"/>
        <v>0</v>
      </c>
    </row>
    <row r="329" spans="6:10" ht="15">
      <c r="F329" s="74">
        <f t="shared" si="22"/>
        <v>0</v>
      </c>
      <c r="I329" s="84" t="str">
        <f t="shared" si="20"/>
        <v/>
      </c>
      <c r="J329" s="84">
        <f t="shared" si="21"/>
        <v>0</v>
      </c>
    </row>
    <row r="330" spans="6:10" ht="15">
      <c r="F330" s="74">
        <f t="shared" si="22"/>
        <v>0</v>
      </c>
      <c r="I330" s="84" t="str">
        <f t="shared" si="20"/>
        <v/>
      </c>
      <c r="J330" s="84">
        <f t="shared" si="21"/>
        <v>0</v>
      </c>
    </row>
    <row r="331" spans="6:10" ht="15">
      <c r="F331" s="74">
        <f t="shared" si="22"/>
        <v>0</v>
      </c>
      <c r="I331" s="84" t="str">
        <f t="shared" si="20"/>
        <v/>
      </c>
      <c r="J331" s="84">
        <f t="shared" si="21"/>
        <v>0</v>
      </c>
    </row>
    <row r="332" spans="6:10" ht="15">
      <c r="F332" s="74">
        <f t="shared" si="22"/>
        <v>0</v>
      </c>
      <c r="I332" s="84" t="str">
        <f t="shared" si="20"/>
        <v/>
      </c>
      <c r="J332" s="84">
        <f t="shared" si="21"/>
        <v>0</v>
      </c>
    </row>
    <row r="333" spans="6:10" ht="15">
      <c r="F333" s="74">
        <f t="shared" si="22"/>
        <v>0</v>
      </c>
      <c r="I333" s="84" t="str">
        <f t="shared" si="20"/>
        <v/>
      </c>
      <c r="J333" s="84">
        <f t="shared" si="21"/>
        <v>0</v>
      </c>
    </row>
    <row r="334" spans="6:10" ht="15">
      <c r="F334" s="74">
        <f t="shared" si="22"/>
        <v>0</v>
      </c>
      <c r="I334" s="84" t="str">
        <f t="shared" si="20"/>
        <v/>
      </c>
      <c r="J334" s="84">
        <f t="shared" si="21"/>
        <v>0</v>
      </c>
    </row>
    <row r="335" spans="6:10" ht="15">
      <c r="F335" s="74">
        <f t="shared" si="22"/>
        <v>0</v>
      </c>
      <c r="I335" s="84" t="str">
        <f t="shared" si="20"/>
        <v/>
      </c>
      <c r="J335" s="84">
        <f t="shared" si="21"/>
        <v>0</v>
      </c>
    </row>
    <row r="336" spans="6:10" ht="15">
      <c r="F336" s="74">
        <f t="shared" si="22"/>
        <v>0</v>
      </c>
      <c r="I336" s="84" t="str">
        <f t="shared" si="20"/>
        <v/>
      </c>
      <c r="J336" s="84">
        <f t="shared" si="21"/>
        <v>0</v>
      </c>
    </row>
    <row r="337" spans="6:10" ht="15">
      <c r="F337" s="74">
        <f t="shared" si="22"/>
        <v>0</v>
      </c>
      <c r="I337" s="84" t="str">
        <f t="shared" si="20"/>
        <v/>
      </c>
      <c r="J337" s="84">
        <f t="shared" si="21"/>
        <v>0</v>
      </c>
    </row>
    <row r="338" spans="6:10" ht="15">
      <c r="F338" s="74">
        <f t="shared" si="22"/>
        <v>0</v>
      </c>
      <c r="I338" s="84" t="str">
        <f t="shared" si="20"/>
        <v/>
      </c>
      <c r="J338" s="84">
        <f t="shared" si="21"/>
        <v>0</v>
      </c>
    </row>
    <row r="339" spans="6:10" ht="15">
      <c r="F339" s="74">
        <f t="shared" si="22"/>
        <v>0</v>
      </c>
      <c r="I339" s="84" t="str">
        <f t="shared" si="20"/>
        <v/>
      </c>
      <c r="J339" s="84">
        <f t="shared" si="21"/>
        <v>0</v>
      </c>
    </row>
    <row r="340" spans="6:10" ht="15">
      <c r="F340" s="74">
        <f t="shared" si="22"/>
        <v>0</v>
      </c>
      <c r="I340" s="84" t="str">
        <f t="shared" si="20"/>
        <v/>
      </c>
      <c r="J340" s="84">
        <f t="shared" si="21"/>
        <v>0</v>
      </c>
    </row>
    <row r="341" spans="6:10" ht="15">
      <c r="F341" s="74">
        <f t="shared" si="22"/>
        <v>0</v>
      </c>
      <c r="I341" s="84" t="str">
        <f t="shared" si="20"/>
        <v/>
      </c>
      <c r="J341" s="84">
        <f t="shared" si="21"/>
        <v>0</v>
      </c>
    </row>
    <row r="342" spans="6:10" ht="15">
      <c r="F342" s="74">
        <f t="shared" si="22"/>
        <v>0</v>
      </c>
      <c r="I342" s="84" t="str">
        <f t="shared" si="20"/>
        <v/>
      </c>
      <c r="J342" s="84">
        <f t="shared" si="21"/>
        <v>0</v>
      </c>
    </row>
    <row r="343" spans="6:10" ht="15">
      <c r="F343" s="74">
        <f t="shared" si="22"/>
        <v>0</v>
      </c>
      <c r="I343" s="84" t="str">
        <f t="shared" si="20"/>
        <v/>
      </c>
      <c r="J343" s="84">
        <f t="shared" si="21"/>
        <v>0</v>
      </c>
    </row>
    <row r="344" spans="6:10" ht="15">
      <c r="F344" s="74">
        <f t="shared" si="22"/>
        <v>0</v>
      </c>
      <c r="I344" s="84" t="str">
        <f t="shared" si="20"/>
        <v/>
      </c>
      <c r="J344" s="84">
        <f t="shared" si="21"/>
        <v>0</v>
      </c>
    </row>
    <row r="345" spans="6:10" ht="15">
      <c r="F345" s="74">
        <f t="shared" si="22"/>
        <v>0</v>
      </c>
      <c r="I345" s="84" t="str">
        <f aca="true" t="shared" si="23" ref="I345:I408">IF(C345&gt;0,1,"")</f>
        <v/>
      </c>
      <c r="J345" s="84">
        <f aca="true" t="shared" si="24" ref="J345:J408">_xlfn.IFERROR(IF(AND(SUM(E345:H345)&gt;1000,I345&gt;0),((ROUNDUP(SUM(E345:H345)/1000,0)-1)*I345),0),0)</f>
        <v>0</v>
      </c>
    </row>
    <row r="346" spans="6:10" ht="15">
      <c r="F346" s="74">
        <f t="shared" si="22"/>
        <v>0</v>
      </c>
      <c r="I346" s="84" t="str">
        <f t="shared" si="23"/>
        <v/>
      </c>
      <c r="J346" s="84">
        <f t="shared" si="24"/>
        <v>0</v>
      </c>
    </row>
    <row r="347" spans="6:10" ht="15">
      <c r="F347" s="74">
        <f t="shared" si="22"/>
        <v>0</v>
      </c>
      <c r="I347" s="84" t="str">
        <f t="shared" si="23"/>
        <v/>
      </c>
      <c r="J347" s="84">
        <f t="shared" si="24"/>
        <v>0</v>
      </c>
    </row>
    <row r="348" spans="6:10" ht="15">
      <c r="F348" s="74">
        <f t="shared" si="22"/>
        <v>0</v>
      </c>
      <c r="I348" s="84" t="str">
        <f t="shared" si="23"/>
        <v/>
      </c>
      <c r="J348" s="84">
        <f t="shared" si="24"/>
        <v>0</v>
      </c>
    </row>
    <row r="349" spans="6:10" ht="15">
      <c r="F349" s="74">
        <f t="shared" si="22"/>
        <v>0</v>
      </c>
      <c r="I349" s="84" t="str">
        <f t="shared" si="23"/>
        <v/>
      </c>
      <c r="J349" s="84">
        <f t="shared" si="24"/>
        <v>0</v>
      </c>
    </row>
    <row r="350" spans="6:10" ht="15">
      <c r="F350" s="74">
        <f t="shared" si="22"/>
        <v>0</v>
      </c>
      <c r="I350" s="84" t="str">
        <f t="shared" si="23"/>
        <v/>
      </c>
      <c r="J350" s="84">
        <f t="shared" si="24"/>
        <v>0</v>
      </c>
    </row>
    <row r="351" spans="6:10" ht="15">
      <c r="F351" s="74">
        <f t="shared" si="22"/>
        <v>0</v>
      </c>
      <c r="I351" s="84" t="str">
        <f t="shared" si="23"/>
        <v/>
      </c>
      <c r="J351" s="84">
        <f t="shared" si="24"/>
        <v>0</v>
      </c>
    </row>
    <row r="352" spans="6:10" ht="15">
      <c r="F352" s="74">
        <f t="shared" si="22"/>
        <v>0</v>
      </c>
      <c r="I352" s="84" t="str">
        <f t="shared" si="23"/>
        <v/>
      </c>
      <c r="J352" s="84">
        <f t="shared" si="24"/>
        <v>0</v>
      </c>
    </row>
    <row r="353" spans="6:10" ht="15">
      <c r="F353" s="74">
        <f t="shared" si="22"/>
        <v>0</v>
      </c>
      <c r="I353" s="84" t="str">
        <f t="shared" si="23"/>
        <v/>
      </c>
      <c r="J353" s="84">
        <f t="shared" si="24"/>
        <v>0</v>
      </c>
    </row>
    <row r="354" spans="6:10" ht="15">
      <c r="F354" s="74">
        <f t="shared" si="22"/>
        <v>0</v>
      </c>
      <c r="I354" s="84" t="str">
        <f t="shared" si="23"/>
        <v/>
      </c>
      <c r="J354" s="84">
        <f t="shared" si="24"/>
        <v>0</v>
      </c>
    </row>
    <row r="355" spans="6:10" ht="15">
      <c r="F355" s="74">
        <f t="shared" si="22"/>
        <v>0</v>
      </c>
      <c r="I355" s="84" t="str">
        <f t="shared" si="23"/>
        <v/>
      </c>
      <c r="J355" s="84">
        <f t="shared" si="24"/>
        <v>0</v>
      </c>
    </row>
    <row r="356" spans="6:10" ht="15">
      <c r="F356" s="74">
        <f t="shared" si="22"/>
        <v>0</v>
      </c>
      <c r="I356" s="84" t="str">
        <f t="shared" si="23"/>
        <v/>
      </c>
      <c r="J356" s="84">
        <f t="shared" si="24"/>
        <v>0</v>
      </c>
    </row>
    <row r="357" spans="6:10" ht="15">
      <c r="F357" s="74">
        <f t="shared" si="22"/>
        <v>0</v>
      </c>
      <c r="I357" s="84" t="str">
        <f t="shared" si="23"/>
        <v/>
      </c>
      <c r="J357" s="84">
        <f t="shared" si="24"/>
        <v>0</v>
      </c>
    </row>
    <row r="358" spans="6:10" ht="15">
      <c r="F358" s="74">
        <f t="shared" si="22"/>
        <v>0</v>
      </c>
      <c r="I358" s="84" t="str">
        <f t="shared" si="23"/>
        <v/>
      </c>
      <c r="J358" s="84">
        <f t="shared" si="24"/>
        <v>0</v>
      </c>
    </row>
    <row r="359" spans="6:10" ht="15">
      <c r="F359" s="74">
        <f t="shared" si="22"/>
        <v>0</v>
      </c>
      <c r="I359" s="84" t="str">
        <f t="shared" si="23"/>
        <v/>
      </c>
      <c r="J359" s="84">
        <f t="shared" si="24"/>
        <v>0</v>
      </c>
    </row>
    <row r="360" spans="6:10" ht="15">
      <c r="F360" s="74">
        <f t="shared" si="22"/>
        <v>0</v>
      </c>
      <c r="I360" s="84" t="str">
        <f t="shared" si="23"/>
        <v/>
      </c>
      <c r="J360" s="84">
        <f t="shared" si="24"/>
        <v>0</v>
      </c>
    </row>
    <row r="361" spans="6:10" ht="15">
      <c r="F361" s="74">
        <f t="shared" si="22"/>
        <v>0</v>
      </c>
      <c r="I361" s="84" t="str">
        <f t="shared" si="23"/>
        <v/>
      </c>
      <c r="J361" s="84">
        <f t="shared" si="24"/>
        <v>0</v>
      </c>
    </row>
    <row r="362" spans="6:10" ht="15">
      <c r="F362" s="74">
        <f t="shared" si="22"/>
        <v>0</v>
      </c>
      <c r="I362" s="84" t="str">
        <f t="shared" si="23"/>
        <v/>
      </c>
      <c r="J362" s="84">
        <f t="shared" si="24"/>
        <v>0</v>
      </c>
    </row>
    <row r="363" spans="6:10" ht="15">
      <c r="F363" s="74">
        <f t="shared" si="22"/>
        <v>0</v>
      </c>
      <c r="I363" s="84" t="str">
        <f t="shared" si="23"/>
        <v/>
      </c>
      <c r="J363" s="84">
        <f t="shared" si="24"/>
        <v>0</v>
      </c>
    </row>
    <row r="364" spans="6:10" ht="15">
      <c r="F364" s="74">
        <f t="shared" si="22"/>
        <v>0</v>
      </c>
      <c r="I364" s="84" t="str">
        <f t="shared" si="23"/>
        <v/>
      </c>
      <c r="J364" s="84">
        <f t="shared" si="24"/>
        <v>0</v>
      </c>
    </row>
    <row r="365" spans="6:10" ht="15">
      <c r="F365" s="74">
        <f t="shared" si="22"/>
        <v>0</v>
      </c>
      <c r="I365" s="84" t="str">
        <f t="shared" si="23"/>
        <v/>
      </c>
      <c r="J365" s="84">
        <f t="shared" si="24"/>
        <v>0</v>
      </c>
    </row>
    <row r="366" spans="6:10" ht="15">
      <c r="F366" s="74">
        <f t="shared" si="22"/>
        <v>0</v>
      </c>
      <c r="I366" s="84" t="str">
        <f t="shared" si="23"/>
        <v/>
      </c>
      <c r="J366" s="84">
        <f t="shared" si="24"/>
        <v>0</v>
      </c>
    </row>
    <row r="367" spans="6:10" ht="15">
      <c r="F367" s="74">
        <f t="shared" si="22"/>
        <v>0</v>
      </c>
      <c r="I367" s="84" t="str">
        <f t="shared" si="23"/>
        <v/>
      </c>
      <c r="J367" s="84">
        <f t="shared" si="24"/>
        <v>0</v>
      </c>
    </row>
    <row r="368" spans="6:10" ht="15">
      <c r="F368" s="74">
        <f t="shared" si="22"/>
        <v>0</v>
      </c>
      <c r="I368" s="84" t="str">
        <f t="shared" si="23"/>
        <v/>
      </c>
      <c r="J368" s="84">
        <f t="shared" si="24"/>
        <v>0</v>
      </c>
    </row>
    <row r="369" spans="6:10" ht="15">
      <c r="F369" s="74">
        <f t="shared" si="22"/>
        <v>0</v>
      </c>
      <c r="I369" s="84" t="str">
        <f t="shared" si="23"/>
        <v/>
      </c>
      <c r="J369" s="84">
        <f t="shared" si="24"/>
        <v>0</v>
      </c>
    </row>
    <row r="370" spans="6:10" ht="15">
      <c r="F370" s="74">
        <f t="shared" si="22"/>
        <v>0</v>
      </c>
      <c r="I370" s="84" t="str">
        <f t="shared" si="23"/>
        <v/>
      </c>
      <c r="J370" s="84">
        <f t="shared" si="24"/>
        <v>0</v>
      </c>
    </row>
    <row r="371" spans="6:10" ht="15">
      <c r="F371" s="74">
        <f t="shared" si="22"/>
        <v>0</v>
      </c>
      <c r="I371" s="84" t="str">
        <f t="shared" si="23"/>
        <v/>
      </c>
      <c r="J371" s="84">
        <f t="shared" si="24"/>
        <v>0</v>
      </c>
    </row>
    <row r="372" spans="6:10" ht="15">
      <c r="F372" s="74">
        <f t="shared" si="22"/>
        <v>0</v>
      </c>
      <c r="I372" s="84" t="str">
        <f t="shared" si="23"/>
        <v/>
      </c>
      <c r="J372" s="84">
        <f t="shared" si="24"/>
        <v>0</v>
      </c>
    </row>
    <row r="373" spans="6:10" ht="15">
      <c r="F373" s="74">
        <f t="shared" si="22"/>
        <v>0</v>
      </c>
      <c r="I373" s="84" t="str">
        <f t="shared" si="23"/>
        <v/>
      </c>
      <c r="J373" s="84">
        <f t="shared" si="24"/>
        <v>0</v>
      </c>
    </row>
    <row r="374" spans="6:10" ht="15">
      <c r="F374" s="74">
        <f t="shared" si="22"/>
        <v>0</v>
      </c>
      <c r="I374" s="84" t="str">
        <f t="shared" si="23"/>
        <v/>
      </c>
      <c r="J374" s="84">
        <f t="shared" si="24"/>
        <v>0</v>
      </c>
    </row>
    <row r="375" spans="6:10" ht="15">
      <c r="F375" s="74">
        <f t="shared" si="22"/>
        <v>0</v>
      </c>
      <c r="I375" s="84" t="str">
        <f t="shared" si="23"/>
        <v/>
      </c>
      <c r="J375" s="84">
        <f t="shared" si="24"/>
        <v>0</v>
      </c>
    </row>
    <row r="376" spans="6:10" ht="15">
      <c r="F376" s="74">
        <f t="shared" si="22"/>
        <v>0</v>
      </c>
      <c r="I376" s="84" t="str">
        <f t="shared" si="23"/>
        <v/>
      </c>
      <c r="J376" s="84">
        <f t="shared" si="24"/>
        <v>0</v>
      </c>
    </row>
    <row r="377" spans="6:10" ht="15">
      <c r="F377" s="74">
        <f t="shared" si="22"/>
        <v>0</v>
      </c>
      <c r="I377" s="84" t="str">
        <f t="shared" si="23"/>
        <v/>
      </c>
      <c r="J377" s="84">
        <f t="shared" si="24"/>
        <v>0</v>
      </c>
    </row>
    <row r="378" spans="6:10" ht="15">
      <c r="F378" s="74">
        <f t="shared" si="22"/>
        <v>0</v>
      </c>
      <c r="I378" s="84" t="str">
        <f t="shared" si="23"/>
        <v/>
      </c>
      <c r="J378" s="84">
        <f t="shared" si="24"/>
        <v>0</v>
      </c>
    </row>
    <row r="379" spans="6:10" ht="15">
      <c r="F379" s="74">
        <f t="shared" si="22"/>
        <v>0</v>
      </c>
      <c r="I379" s="84" t="str">
        <f t="shared" si="23"/>
        <v/>
      </c>
      <c r="J379" s="84">
        <f t="shared" si="24"/>
        <v>0</v>
      </c>
    </row>
    <row r="380" spans="6:10" ht="15">
      <c r="F380" s="74">
        <f t="shared" si="22"/>
        <v>0</v>
      </c>
      <c r="I380" s="84" t="str">
        <f t="shared" si="23"/>
        <v/>
      </c>
      <c r="J380" s="84">
        <f t="shared" si="24"/>
        <v>0</v>
      </c>
    </row>
    <row r="381" spans="6:10" ht="15">
      <c r="F381" s="74">
        <f t="shared" si="22"/>
        <v>0</v>
      </c>
      <c r="I381" s="84" t="str">
        <f t="shared" si="23"/>
        <v/>
      </c>
      <c r="J381" s="84">
        <f t="shared" si="24"/>
        <v>0</v>
      </c>
    </row>
    <row r="382" spans="6:10" ht="15">
      <c r="F382" s="74">
        <f t="shared" si="22"/>
        <v>0</v>
      </c>
      <c r="I382" s="84" t="str">
        <f t="shared" si="23"/>
        <v/>
      </c>
      <c r="J382" s="84">
        <f t="shared" si="24"/>
        <v>0</v>
      </c>
    </row>
    <row r="383" spans="6:10" ht="15">
      <c r="F383" s="74">
        <f t="shared" si="22"/>
        <v>0</v>
      </c>
      <c r="I383" s="84" t="str">
        <f t="shared" si="23"/>
        <v/>
      </c>
      <c r="J383" s="84">
        <f t="shared" si="24"/>
        <v>0</v>
      </c>
    </row>
    <row r="384" spans="6:10" ht="15">
      <c r="F384" s="74">
        <f t="shared" si="22"/>
        <v>0</v>
      </c>
      <c r="I384" s="84" t="str">
        <f t="shared" si="23"/>
        <v/>
      </c>
      <c r="J384" s="84">
        <f t="shared" si="24"/>
        <v>0</v>
      </c>
    </row>
    <row r="385" spans="6:10" ht="15">
      <c r="F385" s="74">
        <f t="shared" si="22"/>
        <v>0</v>
      </c>
      <c r="I385" s="84" t="str">
        <f t="shared" si="23"/>
        <v/>
      </c>
      <c r="J385" s="84">
        <f t="shared" si="24"/>
        <v>0</v>
      </c>
    </row>
    <row r="386" spans="6:10" ht="15">
      <c r="F386" s="74">
        <f t="shared" si="22"/>
        <v>0</v>
      </c>
      <c r="I386" s="84" t="str">
        <f t="shared" si="23"/>
        <v/>
      </c>
      <c r="J386" s="84">
        <f t="shared" si="24"/>
        <v>0</v>
      </c>
    </row>
    <row r="387" spans="6:10" ht="15">
      <c r="F387" s="74">
        <f t="shared" si="22"/>
        <v>0</v>
      </c>
      <c r="I387" s="84" t="str">
        <f t="shared" si="23"/>
        <v/>
      </c>
      <c r="J387" s="84">
        <f t="shared" si="24"/>
        <v>0</v>
      </c>
    </row>
    <row r="388" spans="6:10" ht="15">
      <c r="F388" s="74">
        <f t="shared" si="22"/>
        <v>0</v>
      </c>
      <c r="I388" s="84" t="str">
        <f t="shared" si="23"/>
        <v/>
      </c>
      <c r="J388" s="84">
        <f t="shared" si="24"/>
        <v>0</v>
      </c>
    </row>
    <row r="389" spans="6:10" ht="15">
      <c r="F389" s="74">
        <f t="shared" si="22"/>
        <v>0</v>
      </c>
      <c r="I389" s="84" t="str">
        <f t="shared" si="23"/>
        <v/>
      </c>
      <c r="J389" s="84">
        <f t="shared" si="24"/>
        <v>0</v>
      </c>
    </row>
    <row r="390" spans="6:10" ht="15">
      <c r="F390" s="74">
        <f t="shared" si="22"/>
        <v>0</v>
      </c>
      <c r="I390" s="84" t="str">
        <f t="shared" si="23"/>
        <v/>
      </c>
      <c r="J390" s="84">
        <f t="shared" si="24"/>
        <v>0</v>
      </c>
    </row>
    <row r="391" spans="6:10" ht="15">
      <c r="F391" s="74">
        <f aca="true" t="shared" si="25" ref="F391:F454">D391</f>
        <v>0</v>
      </c>
      <c r="I391" s="84" t="str">
        <f t="shared" si="23"/>
        <v/>
      </c>
      <c r="J391" s="84">
        <f t="shared" si="24"/>
        <v>0</v>
      </c>
    </row>
    <row r="392" spans="6:10" ht="15">
      <c r="F392" s="74">
        <f t="shared" si="25"/>
        <v>0</v>
      </c>
      <c r="I392" s="84" t="str">
        <f t="shared" si="23"/>
        <v/>
      </c>
      <c r="J392" s="84">
        <f t="shared" si="24"/>
        <v>0</v>
      </c>
    </row>
    <row r="393" spans="6:10" ht="15">
      <c r="F393" s="74">
        <f t="shared" si="25"/>
        <v>0</v>
      </c>
      <c r="I393" s="84" t="str">
        <f t="shared" si="23"/>
        <v/>
      </c>
      <c r="J393" s="84">
        <f t="shared" si="24"/>
        <v>0</v>
      </c>
    </row>
    <row r="394" spans="6:10" ht="15">
      <c r="F394" s="74">
        <f t="shared" si="25"/>
        <v>0</v>
      </c>
      <c r="I394" s="84" t="str">
        <f t="shared" si="23"/>
        <v/>
      </c>
      <c r="J394" s="84">
        <f t="shared" si="24"/>
        <v>0</v>
      </c>
    </row>
    <row r="395" spans="6:10" ht="15">
      <c r="F395" s="74">
        <f t="shared" si="25"/>
        <v>0</v>
      </c>
      <c r="I395" s="84" t="str">
        <f t="shared" si="23"/>
        <v/>
      </c>
      <c r="J395" s="84">
        <f t="shared" si="24"/>
        <v>0</v>
      </c>
    </row>
    <row r="396" spans="6:10" ht="15">
      <c r="F396" s="74">
        <f t="shared" si="25"/>
        <v>0</v>
      </c>
      <c r="I396" s="84" t="str">
        <f t="shared" si="23"/>
        <v/>
      </c>
      <c r="J396" s="84">
        <f t="shared" si="24"/>
        <v>0</v>
      </c>
    </row>
    <row r="397" spans="6:10" ht="15">
      <c r="F397" s="74">
        <f t="shared" si="25"/>
        <v>0</v>
      </c>
      <c r="I397" s="84" t="str">
        <f t="shared" si="23"/>
        <v/>
      </c>
      <c r="J397" s="84">
        <f t="shared" si="24"/>
        <v>0</v>
      </c>
    </row>
    <row r="398" spans="6:10" ht="15">
      <c r="F398" s="74">
        <f t="shared" si="25"/>
        <v>0</v>
      </c>
      <c r="I398" s="84" t="str">
        <f t="shared" si="23"/>
        <v/>
      </c>
      <c r="J398" s="84">
        <f t="shared" si="24"/>
        <v>0</v>
      </c>
    </row>
    <row r="399" spans="6:10" ht="15">
      <c r="F399" s="74">
        <f t="shared" si="25"/>
        <v>0</v>
      </c>
      <c r="I399" s="84" t="str">
        <f t="shared" si="23"/>
        <v/>
      </c>
      <c r="J399" s="84">
        <f t="shared" si="24"/>
        <v>0</v>
      </c>
    </row>
    <row r="400" spans="6:10" ht="15">
      <c r="F400" s="74">
        <f t="shared" si="25"/>
        <v>0</v>
      </c>
      <c r="I400" s="84" t="str">
        <f t="shared" si="23"/>
        <v/>
      </c>
      <c r="J400" s="84">
        <f t="shared" si="24"/>
        <v>0</v>
      </c>
    </row>
    <row r="401" spans="6:10" ht="15">
      <c r="F401" s="74">
        <f t="shared" si="25"/>
        <v>0</v>
      </c>
      <c r="I401" s="84" t="str">
        <f t="shared" si="23"/>
        <v/>
      </c>
      <c r="J401" s="84">
        <f t="shared" si="24"/>
        <v>0</v>
      </c>
    </row>
    <row r="402" spans="6:10" ht="15">
      <c r="F402" s="74">
        <f t="shared" si="25"/>
        <v>0</v>
      </c>
      <c r="I402" s="84" t="str">
        <f t="shared" si="23"/>
        <v/>
      </c>
      <c r="J402" s="84">
        <f t="shared" si="24"/>
        <v>0</v>
      </c>
    </row>
    <row r="403" spans="6:10" ht="15">
      <c r="F403" s="74">
        <f t="shared" si="25"/>
        <v>0</v>
      </c>
      <c r="I403" s="84" t="str">
        <f t="shared" si="23"/>
        <v/>
      </c>
      <c r="J403" s="84">
        <f t="shared" si="24"/>
        <v>0</v>
      </c>
    </row>
    <row r="404" spans="6:10" ht="15">
      <c r="F404" s="74">
        <f t="shared" si="25"/>
        <v>0</v>
      </c>
      <c r="I404" s="84" t="str">
        <f t="shared" si="23"/>
        <v/>
      </c>
      <c r="J404" s="84">
        <f t="shared" si="24"/>
        <v>0</v>
      </c>
    </row>
    <row r="405" spans="6:10" ht="15">
      <c r="F405" s="74">
        <f t="shared" si="25"/>
        <v>0</v>
      </c>
      <c r="I405" s="84" t="str">
        <f t="shared" si="23"/>
        <v/>
      </c>
      <c r="J405" s="84">
        <f t="shared" si="24"/>
        <v>0</v>
      </c>
    </row>
    <row r="406" spans="6:10" ht="15">
      <c r="F406" s="74">
        <f t="shared" si="25"/>
        <v>0</v>
      </c>
      <c r="I406" s="84" t="str">
        <f t="shared" si="23"/>
        <v/>
      </c>
      <c r="J406" s="84">
        <f t="shared" si="24"/>
        <v>0</v>
      </c>
    </row>
    <row r="407" spans="6:10" ht="15">
      <c r="F407" s="74">
        <f t="shared" si="25"/>
        <v>0</v>
      </c>
      <c r="I407" s="84" t="str">
        <f t="shared" si="23"/>
        <v/>
      </c>
      <c r="J407" s="84">
        <f t="shared" si="24"/>
        <v>0</v>
      </c>
    </row>
    <row r="408" spans="6:10" ht="15">
      <c r="F408" s="74">
        <f t="shared" si="25"/>
        <v>0</v>
      </c>
      <c r="I408" s="84" t="str">
        <f t="shared" si="23"/>
        <v/>
      </c>
      <c r="J408" s="84">
        <f t="shared" si="24"/>
        <v>0</v>
      </c>
    </row>
    <row r="409" spans="6:10" ht="15">
      <c r="F409" s="74">
        <f t="shared" si="25"/>
        <v>0</v>
      </c>
      <c r="I409" s="84" t="str">
        <f aca="true" t="shared" si="26" ref="I409:I472">IF(C409&gt;0,1,"")</f>
        <v/>
      </c>
      <c r="J409" s="84">
        <f aca="true" t="shared" si="27" ref="J409:J472">_xlfn.IFERROR(IF(AND(SUM(E409:H409)&gt;1000,I409&gt;0),((ROUNDUP(SUM(E409:H409)/1000,0)-1)*I409),0),0)</f>
        <v>0</v>
      </c>
    </row>
    <row r="410" spans="6:10" ht="15">
      <c r="F410" s="74">
        <f t="shared" si="25"/>
        <v>0</v>
      </c>
      <c r="I410" s="84" t="str">
        <f t="shared" si="26"/>
        <v/>
      </c>
      <c r="J410" s="84">
        <f t="shared" si="27"/>
        <v>0</v>
      </c>
    </row>
    <row r="411" spans="6:10" ht="15">
      <c r="F411" s="74">
        <f t="shared" si="25"/>
        <v>0</v>
      </c>
      <c r="I411" s="84" t="str">
        <f t="shared" si="26"/>
        <v/>
      </c>
      <c r="J411" s="84">
        <f t="shared" si="27"/>
        <v>0</v>
      </c>
    </row>
    <row r="412" spans="6:10" ht="15">
      <c r="F412" s="74">
        <f t="shared" si="25"/>
        <v>0</v>
      </c>
      <c r="I412" s="84" t="str">
        <f t="shared" si="26"/>
        <v/>
      </c>
      <c r="J412" s="84">
        <f t="shared" si="27"/>
        <v>0</v>
      </c>
    </row>
    <row r="413" spans="6:10" ht="15">
      <c r="F413" s="74">
        <f t="shared" si="25"/>
        <v>0</v>
      </c>
      <c r="I413" s="84" t="str">
        <f t="shared" si="26"/>
        <v/>
      </c>
      <c r="J413" s="84">
        <f t="shared" si="27"/>
        <v>0</v>
      </c>
    </row>
    <row r="414" spans="6:10" ht="15">
      <c r="F414" s="74">
        <f t="shared" si="25"/>
        <v>0</v>
      </c>
      <c r="I414" s="84" t="str">
        <f t="shared" si="26"/>
        <v/>
      </c>
      <c r="J414" s="84">
        <f t="shared" si="27"/>
        <v>0</v>
      </c>
    </row>
    <row r="415" spans="6:10" ht="15">
      <c r="F415" s="74">
        <f t="shared" si="25"/>
        <v>0</v>
      </c>
      <c r="I415" s="84" t="str">
        <f t="shared" si="26"/>
        <v/>
      </c>
      <c r="J415" s="84">
        <f t="shared" si="27"/>
        <v>0</v>
      </c>
    </row>
    <row r="416" spans="6:10" ht="15">
      <c r="F416" s="74">
        <f t="shared" si="25"/>
        <v>0</v>
      </c>
      <c r="I416" s="84" t="str">
        <f t="shared" si="26"/>
        <v/>
      </c>
      <c r="J416" s="84">
        <f t="shared" si="27"/>
        <v>0</v>
      </c>
    </row>
    <row r="417" spans="6:10" ht="15">
      <c r="F417" s="74">
        <f t="shared" si="25"/>
        <v>0</v>
      </c>
      <c r="I417" s="84" t="str">
        <f t="shared" si="26"/>
        <v/>
      </c>
      <c r="J417" s="84">
        <f t="shared" si="27"/>
        <v>0</v>
      </c>
    </row>
    <row r="418" spans="6:10" ht="15">
      <c r="F418" s="74">
        <f t="shared" si="25"/>
        <v>0</v>
      </c>
      <c r="I418" s="84" t="str">
        <f t="shared" si="26"/>
        <v/>
      </c>
      <c r="J418" s="84">
        <f t="shared" si="27"/>
        <v>0</v>
      </c>
    </row>
    <row r="419" spans="6:10" ht="15">
      <c r="F419" s="74">
        <f t="shared" si="25"/>
        <v>0</v>
      </c>
      <c r="I419" s="84" t="str">
        <f t="shared" si="26"/>
        <v/>
      </c>
      <c r="J419" s="84">
        <f t="shared" si="27"/>
        <v>0</v>
      </c>
    </row>
    <row r="420" spans="6:10" ht="15">
      <c r="F420" s="74">
        <f t="shared" si="25"/>
        <v>0</v>
      </c>
      <c r="I420" s="84" t="str">
        <f t="shared" si="26"/>
        <v/>
      </c>
      <c r="J420" s="84">
        <f t="shared" si="27"/>
        <v>0</v>
      </c>
    </row>
    <row r="421" spans="6:10" ht="15">
      <c r="F421" s="74">
        <f t="shared" si="25"/>
        <v>0</v>
      </c>
      <c r="I421" s="84" t="str">
        <f t="shared" si="26"/>
        <v/>
      </c>
      <c r="J421" s="84">
        <f t="shared" si="27"/>
        <v>0</v>
      </c>
    </row>
    <row r="422" spans="6:10" ht="15">
      <c r="F422" s="74">
        <f t="shared" si="25"/>
        <v>0</v>
      </c>
      <c r="I422" s="84" t="str">
        <f t="shared" si="26"/>
        <v/>
      </c>
      <c r="J422" s="84">
        <f t="shared" si="27"/>
        <v>0</v>
      </c>
    </row>
    <row r="423" spans="6:10" ht="15">
      <c r="F423" s="74">
        <f t="shared" si="25"/>
        <v>0</v>
      </c>
      <c r="I423" s="84" t="str">
        <f t="shared" si="26"/>
        <v/>
      </c>
      <c r="J423" s="84">
        <f t="shared" si="27"/>
        <v>0</v>
      </c>
    </row>
    <row r="424" spans="6:10" ht="15">
      <c r="F424" s="74">
        <f t="shared" si="25"/>
        <v>0</v>
      </c>
      <c r="I424" s="84" t="str">
        <f t="shared" si="26"/>
        <v/>
      </c>
      <c r="J424" s="84">
        <f t="shared" si="27"/>
        <v>0</v>
      </c>
    </row>
    <row r="425" spans="6:10" ht="15">
      <c r="F425" s="74">
        <f t="shared" si="25"/>
        <v>0</v>
      </c>
      <c r="I425" s="84" t="str">
        <f t="shared" si="26"/>
        <v/>
      </c>
      <c r="J425" s="84">
        <f t="shared" si="27"/>
        <v>0</v>
      </c>
    </row>
    <row r="426" spans="6:10" ht="15">
      <c r="F426" s="74">
        <f t="shared" si="25"/>
        <v>0</v>
      </c>
      <c r="I426" s="84" t="str">
        <f t="shared" si="26"/>
        <v/>
      </c>
      <c r="J426" s="84">
        <f t="shared" si="27"/>
        <v>0</v>
      </c>
    </row>
    <row r="427" spans="6:10" ht="15">
      <c r="F427" s="74">
        <f t="shared" si="25"/>
        <v>0</v>
      </c>
      <c r="I427" s="84" t="str">
        <f t="shared" si="26"/>
        <v/>
      </c>
      <c r="J427" s="84">
        <f t="shared" si="27"/>
        <v>0</v>
      </c>
    </row>
    <row r="428" spans="6:10" ht="15">
      <c r="F428" s="74">
        <f t="shared" si="25"/>
        <v>0</v>
      </c>
      <c r="I428" s="84" t="str">
        <f t="shared" si="26"/>
        <v/>
      </c>
      <c r="J428" s="84">
        <f t="shared" si="27"/>
        <v>0</v>
      </c>
    </row>
    <row r="429" spans="6:10" ht="15">
      <c r="F429" s="74">
        <f t="shared" si="25"/>
        <v>0</v>
      </c>
      <c r="I429" s="84" t="str">
        <f t="shared" si="26"/>
        <v/>
      </c>
      <c r="J429" s="84">
        <f t="shared" si="27"/>
        <v>0</v>
      </c>
    </row>
    <row r="430" spans="6:10" ht="15">
      <c r="F430" s="74">
        <f t="shared" si="25"/>
        <v>0</v>
      </c>
      <c r="I430" s="84" t="str">
        <f t="shared" si="26"/>
        <v/>
      </c>
      <c r="J430" s="84">
        <f t="shared" si="27"/>
        <v>0</v>
      </c>
    </row>
    <row r="431" spans="6:10" ht="15">
      <c r="F431" s="74">
        <f t="shared" si="25"/>
        <v>0</v>
      </c>
      <c r="I431" s="84" t="str">
        <f t="shared" si="26"/>
        <v/>
      </c>
      <c r="J431" s="84">
        <f t="shared" si="27"/>
        <v>0</v>
      </c>
    </row>
    <row r="432" spans="6:10" ht="15">
      <c r="F432" s="74">
        <f t="shared" si="25"/>
        <v>0</v>
      </c>
      <c r="I432" s="84" t="str">
        <f t="shared" si="26"/>
        <v/>
      </c>
      <c r="J432" s="84">
        <f t="shared" si="27"/>
        <v>0</v>
      </c>
    </row>
    <row r="433" spans="6:10" ht="15">
      <c r="F433" s="74">
        <f t="shared" si="25"/>
        <v>0</v>
      </c>
      <c r="I433" s="84" t="str">
        <f t="shared" si="26"/>
        <v/>
      </c>
      <c r="J433" s="84">
        <f t="shared" si="27"/>
        <v>0</v>
      </c>
    </row>
    <row r="434" spans="6:10" ht="15">
      <c r="F434" s="74">
        <f t="shared" si="25"/>
        <v>0</v>
      </c>
      <c r="I434" s="84" t="str">
        <f t="shared" si="26"/>
        <v/>
      </c>
      <c r="J434" s="84">
        <f t="shared" si="27"/>
        <v>0</v>
      </c>
    </row>
    <row r="435" spans="6:10" ht="15">
      <c r="F435" s="74">
        <f t="shared" si="25"/>
        <v>0</v>
      </c>
      <c r="I435" s="84" t="str">
        <f t="shared" si="26"/>
        <v/>
      </c>
      <c r="J435" s="84">
        <f t="shared" si="27"/>
        <v>0</v>
      </c>
    </row>
    <row r="436" spans="6:10" ht="15">
      <c r="F436" s="74">
        <f t="shared" si="25"/>
        <v>0</v>
      </c>
      <c r="I436" s="84" t="str">
        <f t="shared" si="26"/>
        <v/>
      </c>
      <c r="J436" s="84">
        <f t="shared" si="27"/>
        <v>0</v>
      </c>
    </row>
    <row r="437" spans="6:10" ht="15">
      <c r="F437" s="74">
        <f t="shared" si="25"/>
        <v>0</v>
      </c>
      <c r="I437" s="84" t="str">
        <f t="shared" si="26"/>
        <v/>
      </c>
      <c r="J437" s="84">
        <f t="shared" si="27"/>
        <v>0</v>
      </c>
    </row>
    <row r="438" spans="6:10" ht="15">
      <c r="F438" s="74">
        <f t="shared" si="25"/>
        <v>0</v>
      </c>
      <c r="I438" s="84" t="str">
        <f t="shared" si="26"/>
        <v/>
      </c>
      <c r="J438" s="84">
        <f t="shared" si="27"/>
        <v>0</v>
      </c>
    </row>
    <row r="439" spans="6:10" ht="15">
      <c r="F439" s="74">
        <f t="shared" si="25"/>
        <v>0</v>
      </c>
      <c r="I439" s="84" t="str">
        <f t="shared" si="26"/>
        <v/>
      </c>
      <c r="J439" s="84">
        <f t="shared" si="27"/>
        <v>0</v>
      </c>
    </row>
    <row r="440" spans="6:10" ht="15">
      <c r="F440" s="74">
        <f t="shared" si="25"/>
        <v>0</v>
      </c>
      <c r="I440" s="84" t="str">
        <f t="shared" si="26"/>
        <v/>
      </c>
      <c r="J440" s="84">
        <f t="shared" si="27"/>
        <v>0</v>
      </c>
    </row>
    <row r="441" spans="6:10" ht="15">
      <c r="F441" s="74">
        <f t="shared" si="25"/>
        <v>0</v>
      </c>
      <c r="I441" s="84" t="str">
        <f t="shared" si="26"/>
        <v/>
      </c>
      <c r="J441" s="84">
        <f t="shared" si="27"/>
        <v>0</v>
      </c>
    </row>
    <row r="442" spans="6:10" ht="15">
      <c r="F442" s="74">
        <f t="shared" si="25"/>
        <v>0</v>
      </c>
      <c r="I442" s="84" t="str">
        <f t="shared" si="26"/>
        <v/>
      </c>
      <c r="J442" s="84">
        <f t="shared" si="27"/>
        <v>0</v>
      </c>
    </row>
    <row r="443" spans="6:10" ht="15">
      <c r="F443" s="74">
        <f t="shared" si="25"/>
        <v>0</v>
      </c>
      <c r="I443" s="84" t="str">
        <f t="shared" si="26"/>
        <v/>
      </c>
      <c r="J443" s="84">
        <f t="shared" si="27"/>
        <v>0</v>
      </c>
    </row>
    <row r="444" spans="6:10" ht="15">
      <c r="F444" s="74">
        <f t="shared" si="25"/>
        <v>0</v>
      </c>
      <c r="I444" s="84" t="str">
        <f t="shared" si="26"/>
        <v/>
      </c>
      <c r="J444" s="84">
        <f t="shared" si="27"/>
        <v>0</v>
      </c>
    </row>
    <row r="445" spans="6:10" ht="15">
      <c r="F445" s="74">
        <f t="shared" si="25"/>
        <v>0</v>
      </c>
      <c r="I445" s="84" t="str">
        <f t="shared" si="26"/>
        <v/>
      </c>
      <c r="J445" s="84">
        <f t="shared" si="27"/>
        <v>0</v>
      </c>
    </row>
    <row r="446" spans="6:10" ht="15">
      <c r="F446" s="74">
        <f t="shared" si="25"/>
        <v>0</v>
      </c>
      <c r="I446" s="84" t="str">
        <f t="shared" si="26"/>
        <v/>
      </c>
      <c r="J446" s="84">
        <f t="shared" si="27"/>
        <v>0</v>
      </c>
    </row>
    <row r="447" spans="6:10" ht="15">
      <c r="F447" s="74">
        <f t="shared" si="25"/>
        <v>0</v>
      </c>
      <c r="I447" s="84" t="str">
        <f t="shared" si="26"/>
        <v/>
      </c>
      <c r="J447" s="84">
        <f t="shared" si="27"/>
        <v>0</v>
      </c>
    </row>
    <row r="448" spans="6:10" ht="15">
      <c r="F448" s="74">
        <f t="shared" si="25"/>
        <v>0</v>
      </c>
      <c r="I448" s="84" t="str">
        <f t="shared" si="26"/>
        <v/>
      </c>
      <c r="J448" s="84">
        <f t="shared" si="27"/>
        <v>0</v>
      </c>
    </row>
    <row r="449" spans="6:10" ht="15">
      <c r="F449" s="74">
        <f t="shared" si="25"/>
        <v>0</v>
      </c>
      <c r="I449" s="84" t="str">
        <f t="shared" si="26"/>
        <v/>
      </c>
      <c r="J449" s="84">
        <f t="shared" si="27"/>
        <v>0</v>
      </c>
    </row>
    <row r="450" spans="6:10" ht="15">
      <c r="F450" s="74">
        <f t="shared" si="25"/>
        <v>0</v>
      </c>
      <c r="I450" s="84" t="str">
        <f t="shared" si="26"/>
        <v/>
      </c>
      <c r="J450" s="84">
        <f t="shared" si="27"/>
        <v>0</v>
      </c>
    </row>
    <row r="451" spans="6:10" ht="15">
      <c r="F451" s="74">
        <f t="shared" si="25"/>
        <v>0</v>
      </c>
      <c r="I451" s="84" t="str">
        <f t="shared" si="26"/>
        <v/>
      </c>
      <c r="J451" s="84">
        <f t="shared" si="27"/>
        <v>0</v>
      </c>
    </row>
    <row r="452" spans="6:10" ht="15">
      <c r="F452" s="74">
        <f t="shared" si="25"/>
        <v>0</v>
      </c>
      <c r="I452" s="84" t="str">
        <f t="shared" si="26"/>
        <v/>
      </c>
      <c r="J452" s="84">
        <f t="shared" si="27"/>
        <v>0</v>
      </c>
    </row>
    <row r="453" spans="6:10" ht="15">
      <c r="F453" s="74">
        <f t="shared" si="25"/>
        <v>0</v>
      </c>
      <c r="I453" s="84" t="str">
        <f t="shared" si="26"/>
        <v/>
      </c>
      <c r="J453" s="84">
        <f t="shared" si="27"/>
        <v>0</v>
      </c>
    </row>
    <row r="454" spans="6:10" ht="15">
      <c r="F454" s="74">
        <f t="shared" si="25"/>
        <v>0</v>
      </c>
      <c r="I454" s="84" t="str">
        <f t="shared" si="26"/>
        <v/>
      </c>
      <c r="J454" s="84">
        <f t="shared" si="27"/>
        <v>0</v>
      </c>
    </row>
    <row r="455" spans="6:10" ht="15">
      <c r="F455" s="74">
        <f aca="true" t="shared" si="28" ref="F455:F518">D455</f>
        <v>0</v>
      </c>
      <c r="I455" s="84" t="str">
        <f t="shared" si="26"/>
        <v/>
      </c>
      <c r="J455" s="84">
        <f t="shared" si="27"/>
        <v>0</v>
      </c>
    </row>
    <row r="456" spans="6:10" ht="15">
      <c r="F456" s="74">
        <f t="shared" si="28"/>
        <v>0</v>
      </c>
      <c r="I456" s="84" t="str">
        <f t="shared" si="26"/>
        <v/>
      </c>
      <c r="J456" s="84">
        <f t="shared" si="27"/>
        <v>0</v>
      </c>
    </row>
    <row r="457" spans="6:10" ht="15">
      <c r="F457" s="74">
        <f t="shared" si="28"/>
        <v>0</v>
      </c>
      <c r="I457" s="84" t="str">
        <f t="shared" si="26"/>
        <v/>
      </c>
      <c r="J457" s="84">
        <f t="shared" si="27"/>
        <v>0</v>
      </c>
    </row>
    <row r="458" spans="6:10" ht="15">
      <c r="F458" s="74">
        <f t="shared" si="28"/>
        <v>0</v>
      </c>
      <c r="I458" s="84" t="str">
        <f t="shared" si="26"/>
        <v/>
      </c>
      <c r="J458" s="84">
        <f t="shared" si="27"/>
        <v>0</v>
      </c>
    </row>
    <row r="459" spans="6:10" ht="15">
      <c r="F459" s="74">
        <f t="shared" si="28"/>
        <v>0</v>
      </c>
      <c r="I459" s="84" t="str">
        <f t="shared" si="26"/>
        <v/>
      </c>
      <c r="J459" s="84">
        <f t="shared" si="27"/>
        <v>0</v>
      </c>
    </row>
    <row r="460" spans="6:10" ht="15">
      <c r="F460" s="74">
        <f t="shared" si="28"/>
        <v>0</v>
      </c>
      <c r="I460" s="84" t="str">
        <f t="shared" si="26"/>
        <v/>
      </c>
      <c r="J460" s="84">
        <f t="shared" si="27"/>
        <v>0</v>
      </c>
    </row>
    <row r="461" spans="6:10" ht="15">
      <c r="F461" s="74">
        <f t="shared" si="28"/>
        <v>0</v>
      </c>
      <c r="I461" s="84" t="str">
        <f t="shared" si="26"/>
        <v/>
      </c>
      <c r="J461" s="84">
        <f t="shared" si="27"/>
        <v>0</v>
      </c>
    </row>
    <row r="462" spans="6:10" ht="15">
      <c r="F462" s="74">
        <f t="shared" si="28"/>
        <v>0</v>
      </c>
      <c r="I462" s="84" t="str">
        <f t="shared" si="26"/>
        <v/>
      </c>
      <c r="J462" s="84">
        <f t="shared" si="27"/>
        <v>0</v>
      </c>
    </row>
    <row r="463" spans="6:10" ht="15">
      <c r="F463" s="74">
        <f t="shared" si="28"/>
        <v>0</v>
      </c>
      <c r="I463" s="84" t="str">
        <f t="shared" si="26"/>
        <v/>
      </c>
      <c r="J463" s="84">
        <f t="shared" si="27"/>
        <v>0</v>
      </c>
    </row>
    <row r="464" spans="6:10" ht="15">
      <c r="F464" s="74">
        <f t="shared" si="28"/>
        <v>0</v>
      </c>
      <c r="I464" s="84" t="str">
        <f t="shared" si="26"/>
        <v/>
      </c>
      <c r="J464" s="84">
        <f t="shared" si="27"/>
        <v>0</v>
      </c>
    </row>
    <row r="465" spans="6:10" ht="15">
      <c r="F465" s="74">
        <f t="shared" si="28"/>
        <v>0</v>
      </c>
      <c r="I465" s="84" t="str">
        <f t="shared" si="26"/>
        <v/>
      </c>
      <c r="J465" s="84">
        <f t="shared" si="27"/>
        <v>0</v>
      </c>
    </row>
    <row r="466" spans="6:10" ht="15">
      <c r="F466" s="74">
        <f t="shared" si="28"/>
        <v>0</v>
      </c>
      <c r="I466" s="84" t="str">
        <f t="shared" si="26"/>
        <v/>
      </c>
      <c r="J466" s="84">
        <f t="shared" si="27"/>
        <v>0</v>
      </c>
    </row>
    <row r="467" spans="6:10" ht="15">
      <c r="F467" s="74">
        <f t="shared" si="28"/>
        <v>0</v>
      </c>
      <c r="I467" s="84" t="str">
        <f t="shared" si="26"/>
        <v/>
      </c>
      <c r="J467" s="84">
        <f t="shared" si="27"/>
        <v>0</v>
      </c>
    </row>
    <row r="468" spans="6:10" ht="15">
      <c r="F468" s="74">
        <f t="shared" si="28"/>
        <v>0</v>
      </c>
      <c r="I468" s="84" t="str">
        <f t="shared" si="26"/>
        <v/>
      </c>
      <c r="J468" s="84">
        <f t="shared" si="27"/>
        <v>0</v>
      </c>
    </row>
    <row r="469" spans="6:10" ht="15">
      <c r="F469" s="74">
        <f t="shared" si="28"/>
        <v>0</v>
      </c>
      <c r="I469" s="84" t="str">
        <f t="shared" si="26"/>
        <v/>
      </c>
      <c r="J469" s="84">
        <f t="shared" si="27"/>
        <v>0</v>
      </c>
    </row>
    <row r="470" spans="6:10" ht="15">
      <c r="F470" s="74">
        <f t="shared" si="28"/>
        <v>0</v>
      </c>
      <c r="I470" s="84" t="str">
        <f t="shared" si="26"/>
        <v/>
      </c>
      <c r="J470" s="84">
        <f t="shared" si="27"/>
        <v>0</v>
      </c>
    </row>
    <row r="471" spans="6:10" ht="15">
      <c r="F471" s="74">
        <f t="shared" si="28"/>
        <v>0</v>
      </c>
      <c r="I471" s="84" t="str">
        <f t="shared" si="26"/>
        <v/>
      </c>
      <c r="J471" s="84">
        <f t="shared" si="27"/>
        <v>0</v>
      </c>
    </row>
    <row r="472" spans="6:10" ht="15">
      <c r="F472" s="74">
        <f t="shared" si="28"/>
        <v>0</v>
      </c>
      <c r="I472" s="84" t="str">
        <f t="shared" si="26"/>
        <v/>
      </c>
      <c r="J472" s="84">
        <f t="shared" si="27"/>
        <v>0</v>
      </c>
    </row>
    <row r="473" spans="6:10" ht="15">
      <c r="F473" s="74">
        <f t="shared" si="28"/>
        <v>0</v>
      </c>
      <c r="I473" s="84" t="str">
        <f aca="true" t="shared" si="29" ref="I473:I536">IF(C473&gt;0,1,"")</f>
        <v/>
      </c>
      <c r="J473" s="84">
        <f aca="true" t="shared" si="30" ref="J473:J536">_xlfn.IFERROR(IF(AND(SUM(E473:H473)&gt;1000,I473&gt;0),((ROUNDUP(SUM(E473:H473)/1000,0)-1)*I473),0),0)</f>
        <v>0</v>
      </c>
    </row>
    <row r="474" spans="6:10" ht="15">
      <c r="F474" s="74">
        <f t="shared" si="28"/>
        <v>0</v>
      </c>
      <c r="I474" s="84" t="str">
        <f t="shared" si="29"/>
        <v/>
      </c>
      <c r="J474" s="84">
        <f t="shared" si="30"/>
        <v>0</v>
      </c>
    </row>
    <row r="475" spans="6:10" ht="15">
      <c r="F475" s="74">
        <f t="shared" si="28"/>
        <v>0</v>
      </c>
      <c r="I475" s="84" t="str">
        <f t="shared" si="29"/>
        <v/>
      </c>
      <c r="J475" s="84">
        <f t="shared" si="30"/>
        <v>0</v>
      </c>
    </row>
    <row r="476" spans="6:10" ht="15">
      <c r="F476" s="74">
        <f t="shared" si="28"/>
        <v>0</v>
      </c>
      <c r="I476" s="84" t="str">
        <f t="shared" si="29"/>
        <v/>
      </c>
      <c r="J476" s="84">
        <f t="shared" si="30"/>
        <v>0</v>
      </c>
    </row>
    <row r="477" spans="6:10" ht="15">
      <c r="F477" s="74">
        <f t="shared" si="28"/>
        <v>0</v>
      </c>
      <c r="I477" s="84" t="str">
        <f t="shared" si="29"/>
        <v/>
      </c>
      <c r="J477" s="84">
        <f t="shared" si="30"/>
        <v>0</v>
      </c>
    </row>
    <row r="478" spans="6:10" ht="15">
      <c r="F478" s="74">
        <f t="shared" si="28"/>
        <v>0</v>
      </c>
      <c r="I478" s="84" t="str">
        <f t="shared" si="29"/>
        <v/>
      </c>
      <c r="J478" s="84">
        <f t="shared" si="30"/>
        <v>0</v>
      </c>
    </row>
    <row r="479" spans="6:10" ht="15">
      <c r="F479" s="74">
        <f t="shared" si="28"/>
        <v>0</v>
      </c>
      <c r="I479" s="84" t="str">
        <f t="shared" si="29"/>
        <v/>
      </c>
      <c r="J479" s="84">
        <f t="shared" si="30"/>
        <v>0</v>
      </c>
    </row>
    <row r="480" spans="6:10" ht="15">
      <c r="F480" s="74">
        <f t="shared" si="28"/>
        <v>0</v>
      </c>
      <c r="I480" s="84" t="str">
        <f t="shared" si="29"/>
        <v/>
      </c>
      <c r="J480" s="84">
        <f t="shared" si="30"/>
        <v>0</v>
      </c>
    </row>
    <row r="481" spans="6:10" ht="15">
      <c r="F481" s="74">
        <f t="shared" si="28"/>
        <v>0</v>
      </c>
      <c r="I481" s="84" t="str">
        <f t="shared" si="29"/>
        <v/>
      </c>
      <c r="J481" s="84">
        <f t="shared" si="30"/>
        <v>0</v>
      </c>
    </row>
    <row r="482" spans="6:10" ht="15">
      <c r="F482" s="74">
        <f t="shared" si="28"/>
        <v>0</v>
      </c>
      <c r="I482" s="84" t="str">
        <f t="shared" si="29"/>
        <v/>
      </c>
      <c r="J482" s="84">
        <f t="shared" si="30"/>
        <v>0</v>
      </c>
    </row>
    <row r="483" spans="6:10" ht="15">
      <c r="F483" s="74">
        <f t="shared" si="28"/>
        <v>0</v>
      </c>
      <c r="I483" s="84" t="str">
        <f t="shared" si="29"/>
        <v/>
      </c>
      <c r="J483" s="84">
        <f t="shared" si="30"/>
        <v>0</v>
      </c>
    </row>
    <row r="484" spans="6:10" ht="15">
      <c r="F484" s="74">
        <f t="shared" si="28"/>
        <v>0</v>
      </c>
      <c r="I484" s="84" t="str">
        <f t="shared" si="29"/>
        <v/>
      </c>
      <c r="J484" s="84">
        <f t="shared" si="30"/>
        <v>0</v>
      </c>
    </row>
    <row r="485" spans="6:10" ht="15">
      <c r="F485" s="74">
        <f t="shared" si="28"/>
        <v>0</v>
      </c>
      <c r="I485" s="84" t="str">
        <f t="shared" si="29"/>
        <v/>
      </c>
      <c r="J485" s="84">
        <f t="shared" si="30"/>
        <v>0</v>
      </c>
    </row>
    <row r="486" spans="6:10" ht="15">
      <c r="F486" s="74">
        <f t="shared" si="28"/>
        <v>0</v>
      </c>
      <c r="I486" s="84" t="str">
        <f t="shared" si="29"/>
        <v/>
      </c>
      <c r="J486" s="84">
        <f t="shared" si="30"/>
        <v>0</v>
      </c>
    </row>
    <row r="487" spans="6:10" ht="15">
      <c r="F487" s="74">
        <f t="shared" si="28"/>
        <v>0</v>
      </c>
      <c r="I487" s="84" t="str">
        <f t="shared" si="29"/>
        <v/>
      </c>
      <c r="J487" s="84">
        <f t="shared" si="30"/>
        <v>0</v>
      </c>
    </row>
    <row r="488" spans="6:10" ht="15">
      <c r="F488" s="74">
        <f t="shared" si="28"/>
        <v>0</v>
      </c>
      <c r="I488" s="84" t="str">
        <f t="shared" si="29"/>
        <v/>
      </c>
      <c r="J488" s="84">
        <f t="shared" si="30"/>
        <v>0</v>
      </c>
    </row>
    <row r="489" spans="6:10" ht="15">
      <c r="F489" s="74">
        <f t="shared" si="28"/>
        <v>0</v>
      </c>
      <c r="I489" s="84" t="str">
        <f t="shared" si="29"/>
        <v/>
      </c>
      <c r="J489" s="84">
        <f t="shared" si="30"/>
        <v>0</v>
      </c>
    </row>
    <row r="490" spans="6:10" ht="15">
      <c r="F490" s="74">
        <f t="shared" si="28"/>
        <v>0</v>
      </c>
      <c r="I490" s="84" t="str">
        <f t="shared" si="29"/>
        <v/>
      </c>
      <c r="J490" s="84">
        <f t="shared" si="30"/>
        <v>0</v>
      </c>
    </row>
    <row r="491" spans="6:10" ht="15">
      <c r="F491" s="74">
        <f t="shared" si="28"/>
        <v>0</v>
      </c>
      <c r="I491" s="84" t="str">
        <f t="shared" si="29"/>
        <v/>
      </c>
      <c r="J491" s="84">
        <f t="shared" si="30"/>
        <v>0</v>
      </c>
    </row>
    <row r="492" spans="6:10" ht="15">
      <c r="F492" s="74">
        <f t="shared" si="28"/>
        <v>0</v>
      </c>
      <c r="I492" s="84" t="str">
        <f t="shared" si="29"/>
        <v/>
      </c>
      <c r="J492" s="84">
        <f t="shared" si="30"/>
        <v>0</v>
      </c>
    </row>
    <row r="493" spans="6:10" ht="15">
      <c r="F493" s="74">
        <f t="shared" si="28"/>
        <v>0</v>
      </c>
      <c r="I493" s="84" t="str">
        <f t="shared" si="29"/>
        <v/>
      </c>
      <c r="J493" s="84">
        <f t="shared" si="30"/>
        <v>0</v>
      </c>
    </row>
    <row r="494" spans="6:10" ht="15">
      <c r="F494" s="74">
        <f t="shared" si="28"/>
        <v>0</v>
      </c>
      <c r="I494" s="84" t="str">
        <f t="shared" si="29"/>
        <v/>
      </c>
      <c r="J494" s="84">
        <f t="shared" si="30"/>
        <v>0</v>
      </c>
    </row>
    <row r="495" spans="6:10" ht="15">
      <c r="F495" s="74">
        <f t="shared" si="28"/>
        <v>0</v>
      </c>
      <c r="I495" s="84" t="str">
        <f t="shared" si="29"/>
        <v/>
      </c>
      <c r="J495" s="84">
        <f t="shared" si="30"/>
        <v>0</v>
      </c>
    </row>
    <row r="496" spans="6:10" ht="15">
      <c r="F496" s="74">
        <f t="shared" si="28"/>
        <v>0</v>
      </c>
      <c r="I496" s="84" t="str">
        <f t="shared" si="29"/>
        <v/>
      </c>
      <c r="J496" s="84">
        <f t="shared" si="30"/>
        <v>0</v>
      </c>
    </row>
    <row r="497" spans="6:10" ht="15">
      <c r="F497" s="74">
        <f t="shared" si="28"/>
        <v>0</v>
      </c>
      <c r="I497" s="84" t="str">
        <f t="shared" si="29"/>
        <v/>
      </c>
      <c r="J497" s="84">
        <f t="shared" si="30"/>
        <v>0</v>
      </c>
    </row>
    <row r="498" spans="6:10" ht="15">
      <c r="F498" s="74">
        <f t="shared" si="28"/>
        <v>0</v>
      </c>
      <c r="I498" s="84" t="str">
        <f t="shared" si="29"/>
        <v/>
      </c>
      <c r="J498" s="84">
        <f t="shared" si="30"/>
        <v>0</v>
      </c>
    </row>
    <row r="499" spans="6:10" ht="15">
      <c r="F499" s="74">
        <f t="shared" si="28"/>
        <v>0</v>
      </c>
      <c r="I499" s="84" t="str">
        <f t="shared" si="29"/>
        <v/>
      </c>
      <c r="J499" s="84">
        <f t="shared" si="30"/>
        <v>0</v>
      </c>
    </row>
    <row r="500" spans="6:10" ht="15">
      <c r="F500" s="74">
        <f t="shared" si="28"/>
        <v>0</v>
      </c>
      <c r="I500" s="84" t="str">
        <f t="shared" si="29"/>
        <v/>
      </c>
      <c r="J500" s="84">
        <f t="shared" si="30"/>
        <v>0</v>
      </c>
    </row>
    <row r="501" spans="6:10" ht="15">
      <c r="F501" s="74">
        <f t="shared" si="28"/>
        <v>0</v>
      </c>
      <c r="I501" s="84" t="str">
        <f t="shared" si="29"/>
        <v/>
      </c>
      <c r="J501" s="84">
        <f t="shared" si="30"/>
        <v>0</v>
      </c>
    </row>
    <row r="502" spans="6:10" ht="15">
      <c r="F502" s="74">
        <f t="shared" si="28"/>
        <v>0</v>
      </c>
      <c r="I502" s="84" t="str">
        <f t="shared" si="29"/>
        <v/>
      </c>
      <c r="J502" s="84">
        <f t="shared" si="30"/>
        <v>0</v>
      </c>
    </row>
    <row r="503" spans="6:10" ht="15">
      <c r="F503" s="74">
        <f t="shared" si="28"/>
        <v>0</v>
      </c>
      <c r="I503" s="84" t="str">
        <f t="shared" si="29"/>
        <v/>
      </c>
      <c r="J503" s="84">
        <f t="shared" si="30"/>
        <v>0</v>
      </c>
    </row>
    <row r="504" spans="6:10" ht="15">
      <c r="F504" s="74">
        <f t="shared" si="28"/>
        <v>0</v>
      </c>
      <c r="I504" s="84" t="str">
        <f t="shared" si="29"/>
        <v/>
      </c>
      <c r="J504" s="84">
        <f t="shared" si="30"/>
        <v>0</v>
      </c>
    </row>
    <row r="505" spans="6:10" ht="15">
      <c r="F505" s="74">
        <f t="shared" si="28"/>
        <v>0</v>
      </c>
      <c r="I505" s="84" t="str">
        <f t="shared" si="29"/>
        <v/>
      </c>
      <c r="J505" s="84">
        <f t="shared" si="30"/>
        <v>0</v>
      </c>
    </row>
    <row r="506" spans="6:10" ht="15">
      <c r="F506" s="74">
        <f t="shared" si="28"/>
        <v>0</v>
      </c>
      <c r="I506" s="84" t="str">
        <f t="shared" si="29"/>
        <v/>
      </c>
      <c r="J506" s="84">
        <f t="shared" si="30"/>
        <v>0</v>
      </c>
    </row>
    <row r="507" spans="6:10" ht="15">
      <c r="F507" s="74">
        <f t="shared" si="28"/>
        <v>0</v>
      </c>
      <c r="I507" s="84" t="str">
        <f t="shared" si="29"/>
        <v/>
      </c>
      <c r="J507" s="84">
        <f t="shared" si="30"/>
        <v>0</v>
      </c>
    </row>
    <row r="508" spans="6:10" ht="15">
      <c r="F508" s="74">
        <f t="shared" si="28"/>
        <v>0</v>
      </c>
      <c r="I508" s="84" t="str">
        <f t="shared" si="29"/>
        <v/>
      </c>
      <c r="J508" s="84">
        <f t="shared" si="30"/>
        <v>0</v>
      </c>
    </row>
    <row r="509" spans="6:10" ht="15">
      <c r="F509" s="74">
        <f t="shared" si="28"/>
        <v>0</v>
      </c>
      <c r="I509" s="84" t="str">
        <f t="shared" si="29"/>
        <v/>
      </c>
      <c r="J509" s="84">
        <f t="shared" si="30"/>
        <v>0</v>
      </c>
    </row>
    <row r="510" spans="6:10" ht="15">
      <c r="F510" s="74">
        <f t="shared" si="28"/>
        <v>0</v>
      </c>
      <c r="I510" s="84" t="str">
        <f t="shared" si="29"/>
        <v/>
      </c>
      <c r="J510" s="84">
        <f t="shared" si="30"/>
        <v>0</v>
      </c>
    </row>
    <row r="511" spans="6:10" ht="15">
      <c r="F511" s="74">
        <f t="shared" si="28"/>
        <v>0</v>
      </c>
      <c r="I511" s="84" t="str">
        <f t="shared" si="29"/>
        <v/>
      </c>
      <c r="J511" s="84">
        <f t="shared" si="30"/>
        <v>0</v>
      </c>
    </row>
    <row r="512" spans="6:10" ht="15">
      <c r="F512" s="74">
        <f t="shared" si="28"/>
        <v>0</v>
      </c>
      <c r="I512" s="84" t="str">
        <f t="shared" si="29"/>
        <v/>
      </c>
      <c r="J512" s="84">
        <f t="shared" si="30"/>
        <v>0</v>
      </c>
    </row>
    <row r="513" spans="6:10" ht="15">
      <c r="F513" s="74">
        <f t="shared" si="28"/>
        <v>0</v>
      </c>
      <c r="I513" s="84" t="str">
        <f t="shared" si="29"/>
        <v/>
      </c>
      <c r="J513" s="84">
        <f t="shared" si="30"/>
        <v>0</v>
      </c>
    </row>
    <row r="514" spans="6:10" ht="15">
      <c r="F514" s="74">
        <f t="shared" si="28"/>
        <v>0</v>
      </c>
      <c r="I514" s="84" t="str">
        <f t="shared" si="29"/>
        <v/>
      </c>
      <c r="J514" s="84">
        <f t="shared" si="30"/>
        <v>0</v>
      </c>
    </row>
    <row r="515" spans="6:10" ht="15">
      <c r="F515" s="74">
        <f t="shared" si="28"/>
        <v>0</v>
      </c>
      <c r="I515" s="84" t="str">
        <f t="shared" si="29"/>
        <v/>
      </c>
      <c r="J515" s="84">
        <f t="shared" si="30"/>
        <v>0</v>
      </c>
    </row>
    <row r="516" spans="6:10" ht="15">
      <c r="F516" s="74">
        <f t="shared" si="28"/>
        <v>0</v>
      </c>
      <c r="I516" s="84" t="str">
        <f t="shared" si="29"/>
        <v/>
      </c>
      <c r="J516" s="84">
        <f t="shared" si="30"/>
        <v>0</v>
      </c>
    </row>
    <row r="517" spans="6:10" ht="15">
      <c r="F517" s="74">
        <f t="shared" si="28"/>
        <v>0</v>
      </c>
      <c r="I517" s="84" t="str">
        <f t="shared" si="29"/>
        <v/>
      </c>
      <c r="J517" s="84">
        <f t="shared" si="30"/>
        <v>0</v>
      </c>
    </row>
    <row r="518" spans="6:10" ht="15">
      <c r="F518" s="74">
        <f t="shared" si="28"/>
        <v>0</v>
      </c>
      <c r="I518" s="84" t="str">
        <f t="shared" si="29"/>
        <v/>
      </c>
      <c r="J518" s="84">
        <f t="shared" si="30"/>
        <v>0</v>
      </c>
    </row>
    <row r="519" spans="6:10" ht="15">
      <c r="F519" s="74">
        <f aca="true" t="shared" si="31" ref="F519:F582">D519</f>
        <v>0</v>
      </c>
      <c r="I519" s="84" t="str">
        <f t="shared" si="29"/>
        <v/>
      </c>
      <c r="J519" s="84">
        <f t="shared" si="30"/>
        <v>0</v>
      </c>
    </row>
    <row r="520" spans="6:10" ht="15">
      <c r="F520" s="74">
        <f t="shared" si="31"/>
        <v>0</v>
      </c>
      <c r="I520" s="84" t="str">
        <f t="shared" si="29"/>
        <v/>
      </c>
      <c r="J520" s="84">
        <f t="shared" si="30"/>
        <v>0</v>
      </c>
    </row>
    <row r="521" spans="6:10" ht="15">
      <c r="F521" s="74">
        <f t="shared" si="31"/>
        <v>0</v>
      </c>
      <c r="I521" s="84" t="str">
        <f t="shared" si="29"/>
        <v/>
      </c>
      <c r="J521" s="84">
        <f t="shared" si="30"/>
        <v>0</v>
      </c>
    </row>
    <row r="522" spans="6:10" ht="15">
      <c r="F522" s="74">
        <f t="shared" si="31"/>
        <v>0</v>
      </c>
      <c r="I522" s="84" t="str">
        <f t="shared" si="29"/>
        <v/>
      </c>
      <c r="J522" s="84">
        <f t="shared" si="30"/>
        <v>0</v>
      </c>
    </row>
    <row r="523" spans="6:10" ht="15">
      <c r="F523" s="74">
        <f t="shared" si="31"/>
        <v>0</v>
      </c>
      <c r="I523" s="84" t="str">
        <f t="shared" si="29"/>
        <v/>
      </c>
      <c r="J523" s="84">
        <f t="shared" si="30"/>
        <v>0</v>
      </c>
    </row>
    <row r="524" spans="6:10" ht="15">
      <c r="F524" s="74">
        <f t="shared" si="31"/>
        <v>0</v>
      </c>
      <c r="I524" s="84" t="str">
        <f t="shared" si="29"/>
        <v/>
      </c>
      <c r="J524" s="84">
        <f t="shared" si="30"/>
        <v>0</v>
      </c>
    </row>
    <row r="525" spans="6:10" ht="15">
      <c r="F525" s="74">
        <f t="shared" si="31"/>
        <v>0</v>
      </c>
      <c r="I525" s="84" t="str">
        <f t="shared" si="29"/>
        <v/>
      </c>
      <c r="J525" s="84">
        <f t="shared" si="30"/>
        <v>0</v>
      </c>
    </row>
    <row r="526" spans="6:10" ht="15">
      <c r="F526" s="74">
        <f t="shared" si="31"/>
        <v>0</v>
      </c>
      <c r="I526" s="84" t="str">
        <f t="shared" si="29"/>
        <v/>
      </c>
      <c r="J526" s="84">
        <f t="shared" si="30"/>
        <v>0</v>
      </c>
    </row>
    <row r="527" spans="6:10" ht="15">
      <c r="F527" s="74">
        <f t="shared" si="31"/>
        <v>0</v>
      </c>
      <c r="I527" s="84" t="str">
        <f t="shared" si="29"/>
        <v/>
      </c>
      <c r="J527" s="84">
        <f t="shared" si="30"/>
        <v>0</v>
      </c>
    </row>
    <row r="528" spans="6:10" ht="15">
      <c r="F528" s="74">
        <f t="shared" si="31"/>
        <v>0</v>
      </c>
      <c r="I528" s="84" t="str">
        <f t="shared" si="29"/>
        <v/>
      </c>
      <c r="J528" s="84">
        <f t="shared" si="30"/>
        <v>0</v>
      </c>
    </row>
    <row r="529" spans="6:10" ht="15">
      <c r="F529" s="74">
        <f t="shared" si="31"/>
        <v>0</v>
      </c>
      <c r="I529" s="84" t="str">
        <f t="shared" si="29"/>
        <v/>
      </c>
      <c r="J529" s="84">
        <f t="shared" si="30"/>
        <v>0</v>
      </c>
    </row>
    <row r="530" spans="6:10" ht="15">
      <c r="F530" s="74">
        <f t="shared" si="31"/>
        <v>0</v>
      </c>
      <c r="I530" s="84" t="str">
        <f t="shared" si="29"/>
        <v/>
      </c>
      <c r="J530" s="84">
        <f t="shared" si="30"/>
        <v>0</v>
      </c>
    </row>
    <row r="531" spans="6:10" ht="15">
      <c r="F531" s="74">
        <f t="shared" si="31"/>
        <v>0</v>
      </c>
      <c r="I531" s="84" t="str">
        <f t="shared" si="29"/>
        <v/>
      </c>
      <c r="J531" s="84">
        <f t="shared" si="30"/>
        <v>0</v>
      </c>
    </row>
    <row r="532" spans="6:10" ht="15">
      <c r="F532" s="74">
        <f t="shared" si="31"/>
        <v>0</v>
      </c>
      <c r="I532" s="84" t="str">
        <f t="shared" si="29"/>
        <v/>
      </c>
      <c r="J532" s="84">
        <f t="shared" si="30"/>
        <v>0</v>
      </c>
    </row>
    <row r="533" spans="6:10" ht="15">
      <c r="F533" s="74">
        <f t="shared" si="31"/>
        <v>0</v>
      </c>
      <c r="I533" s="84" t="str">
        <f t="shared" si="29"/>
        <v/>
      </c>
      <c r="J533" s="84">
        <f t="shared" si="30"/>
        <v>0</v>
      </c>
    </row>
    <row r="534" spans="6:10" ht="15">
      <c r="F534" s="74">
        <f t="shared" si="31"/>
        <v>0</v>
      </c>
      <c r="I534" s="84" t="str">
        <f t="shared" si="29"/>
        <v/>
      </c>
      <c r="J534" s="84">
        <f t="shared" si="30"/>
        <v>0</v>
      </c>
    </row>
    <row r="535" spans="6:10" ht="15">
      <c r="F535" s="74">
        <f t="shared" si="31"/>
        <v>0</v>
      </c>
      <c r="I535" s="84" t="str">
        <f t="shared" si="29"/>
        <v/>
      </c>
      <c r="J535" s="84">
        <f t="shared" si="30"/>
        <v>0</v>
      </c>
    </row>
    <row r="536" spans="6:10" ht="15">
      <c r="F536" s="74">
        <f t="shared" si="31"/>
        <v>0</v>
      </c>
      <c r="I536" s="84" t="str">
        <f t="shared" si="29"/>
        <v/>
      </c>
      <c r="J536" s="84">
        <f t="shared" si="30"/>
        <v>0</v>
      </c>
    </row>
    <row r="537" spans="6:10" ht="15">
      <c r="F537" s="74">
        <f t="shared" si="31"/>
        <v>0</v>
      </c>
      <c r="I537" s="84" t="str">
        <f aca="true" t="shared" si="32" ref="I537:I600">IF(C537&gt;0,1,"")</f>
        <v/>
      </c>
      <c r="J537" s="84">
        <f aca="true" t="shared" si="33" ref="J537:J600">_xlfn.IFERROR(IF(AND(SUM(E537:H537)&gt;1000,I537&gt;0),((ROUNDUP(SUM(E537:H537)/1000,0)-1)*I537),0),0)</f>
        <v>0</v>
      </c>
    </row>
    <row r="538" spans="6:10" ht="15">
      <c r="F538" s="74">
        <f t="shared" si="31"/>
        <v>0</v>
      </c>
      <c r="I538" s="84" t="str">
        <f t="shared" si="32"/>
        <v/>
      </c>
      <c r="J538" s="84">
        <f t="shared" si="33"/>
        <v>0</v>
      </c>
    </row>
    <row r="539" spans="6:10" ht="15">
      <c r="F539" s="74">
        <f t="shared" si="31"/>
        <v>0</v>
      </c>
      <c r="I539" s="84" t="str">
        <f t="shared" si="32"/>
        <v/>
      </c>
      <c r="J539" s="84">
        <f t="shared" si="33"/>
        <v>0</v>
      </c>
    </row>
    <row r="540" spans="6:10" ht="15">
      <c r="F540" s="74">
        <f t="shared" si="31"/>
        <v>0</v>
      </c>
      <c r="I540" s="84" t="str">
        <f t="shared" si="32"/>
        <v/>
      </c>
      <c r="J540" s="84">
        <f t="shared" si="33"/>
        <v>0</v>
      </c>
    </row>
    <row r="541" spans="6:10" ht="15">
      <c r="F541" s="74">
        <f t="shared" si="31"/>
        <v>0</v>
      </c>
      <c r="I541" s="84" t="str">
        <f t="shared" si="32"/>
        <v/>
      </c>
      <c r="J541" s="84">
        <f t="shared" si="33"/>
        <v>0</v>
      </c>
    </row>
    <row r="542" spans="6:10" ht="15">
      <c r="F542" s="74">
        <f t="shared" si="31"/>
        <v>0</v>
      </c>
      <c r="I542" s="84" t="str">
        <f t="shared" si="32"/>
        <v/>
      </c>
      <c r="J542" s="84">
        <f t="shared" si="33"/>
        <v>0</v>
      </c>
    </row>
    <row r="543" spans="6:10" ht="15">
      <c r="F543" s="74">
        <f t="shared" si="31"/>
        <v>0</v>
      </c>
      <c r="I543" s="84" t="str">
        <f t="shared" si="32"/>
        <v/>
      </c>
      <c r="J543" s="84">
        <f t="shared" si="33"/>
        <v>0</v>
      </c>
    </row>
    <row r="544" spans="6:10" ht="15">
      <c r="F544" s="74">
        <f t="shared" si="31"/>
        <v>0</v>
      </c>
      <c r="I544" s="84" t="str">
        <f t="shared" si="32"/>
        <v/>
      </c>
      <c r="J544" s="84">
        <f t="shared" si="33"/>
        <v>0</v>
      </c>
    </row>
    <row r="545" spans="6:10" ht="15">
      <c r="F545" s="74">
        <f t="shared" si="31"/>
        <v>0</v>
      </c>
      <c r="I545" s="84" t="str">
        <f t="shared" si="32"/>
        <v/>
      </c>
      <c r="J545" s="84">
        <f t="shared" si="33"/>
        <v>0</v>
      </c>
    </row>
    <row r="546" spans="6:10" ht="15">
      <c r="F546" s="74">
        <f t="shared" si="31"/>
        <v>0</v>
      </c>
      <c r="I546" s="84" t="str">
        <f t="shared" si="32"/>
        <v/>
      </c>
      <c r="J546" s="84">
        <f t="shared" si="33"/>
        <v>0</v>
      </c>
    </row>
    <row r="547" spans="6:10" ht="15">
      <c r="F547" s="74">
        <f t="shared" si="31"/>
        <v>0</v>
      </c>
      <c r="I547" s="84" t="str">
        <f t="shared" si="32"/>
        <v/>
      </c>
      <c r="J547" s="84">
        <f t="shared" si="33"/>
        <v>0</v>
      </c>
    </row>
    <row r="548" spans="6:10" ht="15">
      <c r="F548" s="74">
        <f t="shared" si="31"/>
        <v>0</v>
      </c>
      <c r="I548" s="84" t="str">
        <f t="shared" si="32"/>
        <v/>
      </c>
      <c r="J548" s="84">
        <f t="shared" si="33"/>
        <v>0</v>
      </c>
    </row>
    <row r="549" spans="6:10" ht="15">
      <c r="F549" s="74">
        <f t="shared" si="31"/>
        <v>0</v>
      </c>
      <c r="I549" s="84" t="str">
        <f t="shared" si="32"/>
        <v/>
      </c>
      <c r="J549" s="84">
        <f t="shared" si="33"/>
        <v>0</v>
      </c>
    </row>
    <row r="550" spans="6:10" ht="15">
      <c r="F550" s="74">
        <f t="shared" si="31"/>
        <v>0</v>
      </c>
      <c r="I550" s="84" t="str">
        <f t="shared" si="32"/>
        <v/>
      </c>
      <c r="J550" s="84">
        <f t="shared" si="33"/>
        <v>0</v>
      </c>
    </row>
    <row r="551" spans="6:10" ht="15">
      <c r="F551" s="74">
        <f t="shared" si="31"/>
        <v>0</v>
      </c>
      <c r="I551" s="84" t="str">
        <f t="shared" si="32"/>
        <v/>
      </c>
      <c r="J551" s="84">
        <f t="shared" si="33"/>
        <v>0</v>
      </c>
    </row>
    <row r="552" spans="6:10" ht="15">
      <c r="F552" s="74">
        <f t="shared" si="31"/>
        <v>0</v>
      </c>
      <c r="I552" s="84" t="str">
        <f t="shared" si="32"/>
        <v/>
      </c>
      <c r="J552" s="84">
        <f t="shared" si="33"/>
        <v>0</v>
      </c>
    </row>
    <row r="553" spans="6:10" ht="15">
      <c r="F553" s="74">
        <f t="shared" si="31"/>
        <v>0</v>
      </c>
      <c r="I553" s="84" t="str">
        <f t="shared" si="32"/>
        <v/>
      </c>
      <c r="J553" s="84">
        <f t="shared" si="33"/>
        <v>0</v>
      </c>
    </row>
    <row r="554" spans="6:10" ht="15">
      <c r="F554" s="74">
        <f t="shared" si="31"/>
        <v>0</v>
      </c>
      <c r="I554" s="84" t="str">
        <f t="shared" si="32"/>
        <v/>
      </c>
      <c r="J554" s="84">
        <f t="shared" si="33"/>
        <v>0</v>
      </c>
    </row>
    <row r="555" spans="6:10" ht="15">
      <c r="F555" s="74">
        <f t="shared" si="31"/>
        <v>0</v>
      </c>
      <c r="I555" s="84" t="str">
        <f t="shared" si="32"/>
        <v/>
      </c>
      <c r="J555" s="84">
        <f t="shared" si="33"/>
        <v>0</v>
      </c>
    </row>
    <row r="556" spans="6:10" ht="15">
      <c r="F556" s="74">
        <f t="shared" si="31"/>
        <v>0</v>
      </c>
      <c r="I556" s="84" t="str">
        <f t="shared" si="32"/>
        <v/>
      </c>
      <c r="J556" s="84">
        <f t="shared" si="33"/>
        <v>0</v>
      </c>
    </row>
    <row r="557" spans="6:10" ht="15">
      <c r="F557" s="74">
        <f t="shared" si="31"/>
        <v>0</v>
      </c>
      <c r="I557" s="84" t="str">
        <f t="shared" si="32"/>
        <v/>
      </c>
      <c r="J557" s="84">
        <f t="shared" si="33"/>
        <v>0</v>
      </c>
    </row>
    <row r="558" spans="6:10" ht="15">
      <c r="F558" s="74">
        <f t="shared" si="31"/>
        <v>0</v>
      </c>
      <c r="I558" s="84" t="str">
        <f t="shared" si="32"/>
        <v/>
      </c>
      <c r="J558" s="84">
        <f t="shared" si="33"/>
        <v>0</v>
      </c>
    </row>
    <row r="559" spans="6:10" ht="15">
      <c r="F559" s="74">
        <f t="shared" si="31"/>
        <v>0</v>
      </c>
      <c r="I559" s="84" t="str">
        <f t="shared" si="32"/>
        <v/>
      </c>
      <c r="J559" s="84">
        <f t="shared" si="33"/>
        <v>0</v>
      </c>
    </row>
    <row r="560" spans="6:10" ht="15">
      <c r="F560" s="74">
        <f t="shared" si="31"/>
        <v>0</v>
      </c>
      <c r="I560" s="84" t="str">
        <f t="shared" si="32"/>
        <v/>
      </c>
      <c r="J560" s="84">
        <f t="shared" si="33"/>
        <v>0</v>
      </c>
    </row>
    <row r="561" spans="6:10" ht="15">
      <c r="F561" s="74">
        <f t="shared" si="31"/>
        <v>0</v>
      </c>
      <c r="I561" s="84" t="str">
        <f t="shared" si="32"/>
        <v/>
      </c>
      <c r="J561" s="84">
        <f t="shared" si="33"/>
        <v>0</v>
      </c>
    </row>
    <row r="562" spans="6:10" ht="15">
      <c r="F562" s="74">
        <f t="shared" si="31"/>
        <v>0</v>
      </c>
      <c r="I562" s="84" t="str">
        <f t="shared" si="32"/>
        <v/>
      </c>
      <c r="J562" s="84">
        <f t="shared" si="33"/>
        <v>0</v>
      </c>
    </row>
    <row r="563" spans="6:10" ht="15">
      <c r="F563" s="74">
        <f t="shared" si="31"/>
        <v>0</v>
      </c>
      <c r="I563" s="84" t="str">
        <f t="shared" si="32"/>
        <v/>
      </c>
      <c r="J563" s="84">
        <f t="shared" si="33"/>
        <v>0</v>
      </c>
    </row>
    <row r="564" spans="6:10" ht="15">
      <c r="F564" s="74">
        <f t="shared" si="31"/>
        <v>0</v>
      </c>
      <c r="I564" s="84" t="str">
        <f t="shared" si="32"/>
        <v/>
      </c>
      <c r="J564" s="84">
        <f t="shared" si="33"/>
        <v>0</v>
      </c>
    </row>
    <row r="565" spans="6:10" ht="15">
      <c r="F565" s="74">
        <f t="shared" si="31"/>
        <v>0</v>
      </c>
      <c r="I565" s="84" t="str">
        <f t="shared" si="32"/>
        <v/>
      </c>
      <c r="J565" s="84">
        <f t="shared" si="33"/>
        <v>0</v>
      </c>
    </row>
    <row r="566" spans="6:10" ht="15">
      <c r="F566" s="74">
        <f t="shared" si="31"/>
        <v>0</v>
      </c>
      <c r="I566" s="84" t="str">
        <f t="shared" si="32"/>
        <v/>
      </c>
      <c r="J566" s="84">
        <f t="shared" si="33"/>
        <v>0</v>
      </c>
    </row>
    <row r="567" spans="6:10" ht="15">
      <c r="F567" s="74">
        <f t="shared" si="31"/>
        <v>0</v>
      </c>
      <c r="I567" s="84" t="str">
        <f t="shared" si="32"/>
        <v/>
      </c>
      <c r="J567" s="84">
        <f t="shared" si="33"/>
        <v>0</v>
      </c>
    </row>
    <row r="568" spans="6:10" ht="15">
      <c r="F568" s="74">
        <f t="shared" si="31"/>
        <v>0</v>
      </c>
      <c r="I568" s="84" t="str">
        <f t="shared" si="32"/>
        <v/>
      </c>
      <c r="J568" s="84">
        <f t="shared" si="33"/>
        <v>0</v>
      </c>
    </row>
    <row r="569" spans="6:10" ht="15">
      <c r="F569" s="74">
        <f t="shared" si="31"/>
        <v>0</v>
      </c>
      <c r="I569" s="84" t="str">
        <f t="shared" si="32"/>
        <v/>
      </c>
      <c r="J569" s="84">
        <f t="shared" si="33"/>
        <v>0</v>
      </c>
    </row>
    <row r="570" spans="6:10" ht="15">
      <c r="F570" s="74">
        <f t="shared" si="31"/>
        <v>0</v>
      </c>
      <c r="I570" s="84" t="str">
        <f t="shared" si="32"/>
        <v/>
      </c>
      <c r="J570" s="84">
        <f t="shared" si="33"/>
        <v>0</v>
      </c>
    </row>
    <row r="571" spans="6:10" ht="15">
      <c r="F571" s="74">
        <f t="shared" si="31"/>
        <v>0</v>
      </c>
      <c r="I571" s="84" t="str">
        <f t="shared" si="32"/>
        <v/>
      </c>
      <c r="J571" s="84">
        <f t="shared" si="33"/>
        <v>0</v>
      </c>
    </row>
    <row r="572" spans="6:10" ht="15">
      <c r="F572" s="74">
        <f t="shared" si="31"/>
        <v>0</v>
      </c>
      <c r="I572" s="84" t="str">
        <f t="shared" si="32"/>
        <v/>
      </c>
      <c r="J572" s="84">
        <f t="shared" si="33"/>
        <v>0</v>
      </c>
    </row>
    <row r="573" spans="6:10" ht="15">
      <c r="F573" s="74">
        <f t="shared" si="31"/>
        <v>0</v>
      </c>
      <c r="I573" s="84" t="str">
        <f t="shared" si="32"/>
        <v/>
      </c>
      <c r="J573" s="84">
        <f t="shared" si="33"/>
        <v>0</v>
      </c>
    </row>
    <row r="574" spans="6:10" ht="15">
      <c r="F574" s="74">
        <f t="shared" si="31"/>
        <v>0</v>
      </c>
      <c r="I574" s="84" t="str">
        <f t="shared" si="32"/>
        <v/>
      </c>
      <c r="J574" s="84">
        <f t="shared" si="33"/>
        <v>0</v>
      </c>
    </row>
    <row r="575" spans="6:10" ht="15">
      <c r="F575" s="74">
        <f t="shared" si="31"/>
        <v>0</v>
      </c>
      <c r="I575" s="84" t="str">
        <f t="shared" si="32"/>
        <v/>
      </c>
      <c r="J575" s="84">
        <f t="shared" si="33"/>
        <v>0</v>
      </c>
    </row>
    <row r="576" spans="6:10" ht="15">
      <c r="F576" s="74">
        <f t="shared" si="31"/>
        <v>0</v>
      </c>
      <c r="I576" s="84" t="str">
        <f t="shared" si="32"/>
        <v/>
      </c>
      <c r="J576" s="84">
        <f t="shared" si="33"/>
        <v>0</v>
      </c>
    </row>
    <row r="577" spans="6:10" ht="15">
      <c r="F577" s="74">
        <f t="shared" si="31"/>
        <v>0</v>
      </c>
      <c r="I577" s="84" t="str">
        <f t="shared" si="32"/>
        <v/>
      </c>
      <c r="J577" s="84">
        <f t="shared" si="33"/>
        <v>0</v>
      </c>
    </row>
    <row r="578" spans="6:10" ht="15">
      <c r="F578" s="74">
        <f t="shared" si="31"/>
        <v>0</v>
      </c>
      <c r="I578" s="84" t="str">
        <f t="shared" si="32"/>
        <v/>
      </c>
      <c r="J578" s="84">
        <f t="shared" si="33"/>
        <v>0</v>
      </c>
    </row>
    <row r="579" spans="6:10" ht="15">
      <c r="F579" s="74">
        <f t="shared" si="31"/>
        <v>0</v>
      </c>
      <c r="I579" s="84" t="str">
        <f t="shared" si="32"/>
        <v/>
      </c>
      <c r="J579" s="84">
        <f t="shared" si="33"/>
        <v>0</v>
      </c>
    </row>
    <row r="580" spans="6:10" ht="15">
      <c r="F580" s="74">
        <f t="shared" si="31"/>
        <v>0</v>
      </c>
      <c r="I580" s="84" t="str">
        <f t="shared" si="32"/>
        <v/>
      </c>
      <c r="J580" s="84">
        <f t="shared" si="33"/>
        <v>0</v>
      </c>
    </row>
    <row r="581" spans="6:10" ht="15">
      <c r="F581" s="74">
        <f t="shared" si="31"/>
        <v>0</v>
      </c>
      <c r="I581" s="84" t="str">
        <f t="shared" si="32"/>
        <v/>
      </c>
      <c r="J581" s="84">
        <f t="shared" si="33"/>
        <v>0</v>
      </c>
    </row>
    <row r="582" spans="6:10" ht="15">
      <c r="F582" s="74">
        <f t="shared" si="31"/>
        <v>0</v>
      </c>
      <c r="I582" s="84" t="str">
        <f t="shared" si="32"/>
        <v/>
      </c>
      <c r="J582" s="84">
        <f t="shared" si="33"/>
        <v>0</v>
      </c>
    </row>
    <row r="583" spans="6:10" ht="15">
      <c r="F583" s="74">
        <f aca="true" t="shared" si="34" ref="F583:F646">D583</f>
        <v>0</v>
      </c>
      <c r="I583" s="84" t="str">
        <f t="shared" si="32"/>
        <v/>
      </c>
      <c r="J583" s="84">
        <f t="shared" si="33"/>
        <v>0</v>
      </c>
    </row>
    <row r="584" spans="6:10" ht="15">
      <c r="F584" s="74">
        <f t="shared" si="34"/>
        <v>0</v>
      </c>
      <c r="I584" s="84" t="str">
        <f t="shared" si="32"/>
        <v/>
      </c>
      <c r="J584" s="84">
        <f t="shared" si="33"/>
        <v>0</v>
      </c>
    </row>
    <row r="585" spans="6:10" ht="15">
      <c r="F585" s="74">
        <f t="shared" si="34"/>
        <v>0</v>
      </c>
      <c r="I585" s="84" t="str">
        <f t="shared" si="32"/>
        <v/>
      </c>
      <c r="J585" s="84">
        <f t="shared" si="33"/>
        <v>0</v>
      </c>
    </row>
    <row r="586" spans="6:10" ht="15">
      <c r="F586" s="74">
        <f t="shared" si="34"/>
        <v>0</v>
      </c>
      <c r="I586" s="84" t="str">
        <f t="shared" si="32"/>
        <v/>
      </c>
      <c r="J586" s="84">
        <f t="shared" si="33"/>
        <v>0</v>
      </c>
    </row>
    <row r="587" spans="6:10" ht="15">
      <c r="F587" s="74">
        <f t="shared" si="34"/>
        <v>0</v>
      </c>
      <c r="I587" s="84" t="str">
        <f t="shared" si="32"/>
        <v/>
      </c>
      <c r="J587" s="84">
        <f t="shared" si="33"/>
        <v>0</v>
      </c>
    </row>
    <row r="588" spans="6:10" ht="15">
      <c r="F588" s="74">
        <f t="shared" si="34"/>
        <v>0</v>
      </c>
      <c r="I588" s="84" t="str">
        <f t="shared" si="32"/>
        <v/>
      </c>
      <c r="J588" s="84">
        <f t="shared" si="33"/>
        <v>0</v>
      </c>
    </row>
    <row r="589" spans="6:10" ht="15">
      <c r="F589" s="74">
        <f t="shared" si="34"/>
        <v>0</v>
      </c>
      <c r="I589" s="84" t="str">
        <f t="shared" si="32"/>
        <v/>
      </c>
      <c r="J589" s="84">
        <f t="shared" si="33"/>
        <v>0</v>
      </c>
    </row>
    <row r="590" spans="6:10" ht="15">
      <c r="F590" s="74">
        <f t="shared" si="34"/>
        <v>0</v>
      </c>
      <c r="I590" s="84" t="str">
        <f t="shared" si="32"/>
        <v/>
      </c>
      <c r="J590" s="84">
        <f t="shared" si="33"/>
        <v>0</v>
      </c>
    </row>
    <row r="591" spans="6:10" ht="15">
      <c r="F591" s="74">
        <f t="shared" si="34"/>
        <v>0</v>
      </c>
      <c r="I591" s="84" t="str">
        <f t="shared" si="32"/>
        <v/>
      </c>
      <c r="J591" s="84">
        <f t="shared" si="33"/>
        <v>0</v>
      </c>
    </row>
    <row r="592" spans="6:10" ht="15">
      <c r="F592" s="74">
        <f t="shared" si="34"/>
        <v>0</v>
      </c>
      <c r="I592" s="84" t="str">
        <f t="shared" si="32"/>
        <v/>
      </c>
      <c r="J592" s="84">
        <f t="shared" si="33"/>
        <v>0</v>
      </c>
    </row>
    <row r="593" spans="6:10" ht="15">
      <c r="F593" s="74">
        <f t="shared" si="34"/>
        <v>0</v>
      </c>
      <c r="I593" s="84" t="str">
        <f t="shared" si="32"/>
        <v/>
      </c>
      <c r="J593" s="84">
        <f t="shared" si="33"/>
        <v>0</v>
      </c>
    </row>
    <row r="594" spans="6:10" ht="15">
      <c r="F594" s="74">
        <f t="shared" si="34"/>
        <v>0</v>
      </c>
      <c r="I594" s="84" t="str">
        <f t="shared" si="32"/>
        <v/>
      </c>
      <c r="J594" s="84">
        <f t="shared" si="33"/>
        <v>0</v>
      </c>
    </row>
    <row r="595" spans="6:10" ht="15">
      <c r="F595" s="74">
        <f t="shared" si="34"/>
        <v>0</v>
      </c>
      <c r="I595" s="84" t="str">
        <f t="shared" si="32"/>
        <v/>
      </c>
      <c r="J595" s="84">
        <f t="shared" si="33"/>
        <v>0</v>
      </c>
    </row>
    <row r="596" spans="6:10" ht="15">
      <c r="F596" s="74">
        <f t="shared" si="34"/>
        <v>0</v>
      </c>
      <c r="I596" s="84" t="str">
        <f t="shared" si="32"/>
        <v/>
      </c>
      <c r="J596" s="84">
        <f t="shared" si="33"/>
        <v>0</v>
      </c>
    </row>
    <row r="597" spans="6:10" ht="15">
      <c r="F597" s="74">
        <f t="shared" si="34"/>
        <v>0</v>
      </c>
      <c r="I597" s="84" t="str">
        <f t="shared" si="32"/>
        <v/>
      </c>
      <c r="J597" s="84">
        <f t="shared" si="33"/>
        <v>0</v>
      </c>
    </row>
    <row r="598" spans="6:10" ht="15">
      <c r="F598" s="74">
        <f t="shared" si="34"/>
        <v>0</v>
      </c>
      <c r="I598" s="84" t="str">
        <f t="shared" si="32"/>
        <v/>
      </c>
      <c r="J598" s="84">
        <f t="shared" si="33"/>
        <v>0</v>
      </c>
    </row>
    <row r="599" spans="6:10" ht="15">
      <c r="F599" s="74">
        <f t="shared" si="34"/>
        <v>0</v>
      </c>
      <c r="I599" s="84" t="str">
        <f t="shared" si="32"/>
        <v/>
      </c>
      <c r="J599" s="84">
        <f t="shared" si="33"/>
        <v>0</v>
      </c>
    </row>
    <row r="600" spans="6:10" ht="15">
      <c r="F600" s="74">
        <f t="shared" si="34"/>
        <v>0</v>
      </c>
      <c r="I600" s="84" t="str">
        <f t="shared" si="32"/>
        <v/>
      </c>
      <c r="J600" s="84">
        <f t="shared" si="33"/>
        <v>0</v>
      </c>
    </row>
    <row r="601" spans="6:10" ht="15">
      <c r="F601" s="74">
        <f t="shared" si="34"/>
        <v>0</v>
      </c>
      <c r="I601" s="84" t="str">
        <f aca="true" t="shared" si="35" ref="I601:I664">IF(C601&gt;0,1,"")</f>
        <v/>
      </c>
      <c r="J601" s="84">
        <f aca="true" t="shared" si="36" ref="J601:J664">_xlfn.IFERROR(IF(AND(SUM(E601:H601)&gt;1000,I601&gt;0),((ROUNDUP(SUM(E601:H601)/1000,0)-1)*I601),0),0)</f>
        <v>0</v>
      </c>
    </row>
    <row r="602" spans="6:10" ht="15">
      <c r="F602" s="74">
        <f t="shared" si="34"/>
        <v>0</v>
      </c>
      <c r="I602" s="84" t="str">
        <f t="shared" si="35"/>
        <v/>
      </c>
      <c r="J602" s="84">
        <f t="shared" si="36"/>
        <v>0</v>
      </c>
    </row>
    <row r="603" spans="6:10" ht="15">
      <c r="F603" s="74">
        <f t="shared" si="34"/>
        <v>0</v>
      </c>
      <c r="I603" s="84" t="str">
        <f t="shared" si="35"/>
        <v/>
      </c>
      <c r="J603" s="84">
        <f t="shared" si="36"/>
        <v>0</v>
      </c>
    </row>
    <row r="604" spans="6:10" ht="15">
      <c r="F604" s="74">
        <f t="shared" si="34"/>
        <v>0</v>
      </c>
      <c r="I604" s="84" t="str">
        <f t="shared" si="35"/>
        <v/>
      </c>
      <c r="J604" s="84">
        <f t="shared" si="36"/>
        <v>0</v>
      </c>
    </row>
    <row r="605" spans="6:10" ht="15">
      <c r="F605" s="74">
        <f t="shared" si="34"/>
        <v>0</v>
      </c>
      <c r="I605" s="84" t="str">
        <f t="shared" si="35"/>
        <v/>
      </c>
      <c r="J605" s="84">
        <f t="shared" si="36"/>
        <v>0</v>
      </c>
    </row>
    <row r="606" spans="6:10" ht="15">
      <c r="F606" s="74">
        <f t="shared" si="34"/>
        <v>0</v>
      </c>
      <c r="I606" s="84" t="str">
        <f t="shared" si="35"/>
        <v/>
      </c>
      <c r="J606" s="84">
        <f t="shared" si="36"/>
        <v>0</v>
      </c>
    </row>
    <row r="607" spans="6:10" ht="15">
      <c r="F607" s="74">
        <f t="shared" si="34"/>
        <v>0</v>
      </c>
      <c r="I607" s="84" t="str">
        <f t="shared" si="35"/>
        <v/>
      </c>
      <c r="J607" s="84">
        <f t="shared" si="36"/>
        <v>0</v>
      </c>
    </row>
    <row r="608" spans="6:10" ht="15">
      <c r="F608" s="74">
        <f t="shared" si="34"/>
        <v>0</v>
      </c>
      <c r="I608" s="84" t="str">
        <f t="shared" si="35"/>
        <v/>
      </c>
      <c r="J608" s="84">
        <f t="shared" si="36"/>
        <v>0</v>
      </c>
    </row>
    <row r="609" spans="6:10" ht="15">
      <c r="F609" s="74">
        <f t="shared" si="34"/>
        <v>0</v>
      </c>
      <c r="I609" s="84" t="str">
        <f t="shared" si="35"/>
        <v/>
      </c>
      <c r="J609" s="84">
        <f t="shared" si="36"/>
        <v>0</v>
      </c>
    </row>
    <row r="610" spans="6:10" ht="15">
      <c r="F610" s="74">
        <f t="shared" si="34"/>
        <v>0</v>
      </c>
      <c r="I610" s="84" t="str">
        <f t="shared" si="35"/>
        <v/>
      </c>
      <c r="J610" s="84">
        <f t="shared" si="36"/>
        <v>0</v>
      </c>
    </row>
    <row r="611" spans="6:10" ht="15">
      <c r="F611" s="74">
        <f t="shared" si="34"/>
        <v>0</v>
      </c>
      <c r="I611" s="84" t="str">
        <f t="shared" si="35"/>
        <v/>
      </c>
      <c r="J611" s="84">
        <f t="shared" si="36"/>
        <v>0</v>
      </c>
    </row>
    <row r="612" spans="6:10" ht="15">
      <c r="F612" s="74">
        <f t="shared" si="34"/>
        <v>0</v>
      </c>
      <c r="I612" s="84" t="str">
        <f t="shared" si="35"/>
        <v/>
      </c>
      <c r="J612" s="84">
        <f t="shared" si="36"/>
        <v>0</v>
      </c>
    </row>
    <row r="613" spans="6:10" ht="15">
      <c r="F613" s="74">
        <f t="shared" si="34"/>
        <v>0</v>
      </c>
      <c r="I613" s="84" t="str">
        <f t="shared" si="35"/>
        <v/>
      </c>
      <c r="J613" s="84">
        <f t="shared" si="36"/>
        <v>0</v>
      </c>
    </row>
    <row r="614" spans="6:10" ht="15">
      <c r="F614" s="74">
        <f t="shared" si="34"/>
        <v>0</v>
      </c>
      <c r="I614" s="84" t="str">
        <f t="shared" si="35"/>
        <v/>
      </c>
      <c r="J614" s="84">
        <f t="shared" si="36"/>
        <v>0</v>
      </c>
    </row>
    <row r="615" spans="6:10" ht="15">
      <c r="F615" s="74">
        <f t="shared" si="34"/>
        <v>0</v>
      </c>
      <c r="I615" s="84" t="str">
        <f t="shared" si="35"/>
        <v/>
      </c>
      <c r="J615" s="84">
        <f t="shared" si="36"/>
        <v>0</v>
      </c>
    </row>
    <row r="616" spans="6:10" ht="15">
      <c r="F616" s="74">
        <f t="shared" si="34"/>
        <v>0</v>
      </c>
      <c r="I616" s="84" t="str">
        <f t="shared" si="35"/>
        <v/>
      </c>
      <c r="J616" s="84">
        <f t="shared" si="36"/>
        <v>0</v>
      </c>
    </row>
    <row r="617" spans="6:10" ht="15">
      <c r="F617" s="74">
        <f t="shared" si="34"/>
        <v>0</v>
      </c>
      <c r="I617" s="84" t="str">
        <f t="shared" si="35"/>
        <v/>
      </c>
      <c r="J617" s="84">
        <f t="shared" si="36"/>
        <v>0</v>
      </c>
    </row>
    <row r="618" spans="6:10" ht="15">
      <c r="F618" s="74">
        <f t="shared" si="34"/>
        <v>0</v>
      </c>
      <c r="I618" s="84" t="str">
        <f t="shared" si="35"/>
        <v/>
      </c>
      <c r="J618" s="84">
        <f t="shared" si="36"/>
        <v>0</v>
      </c>
    </row>
    <row r="619" spans="6:10" ht="15">
      <c r="F619" s="74">
        <f t="shared" si="34"/>
        <v>0</v>
      </c>
      <c r="I619" s="84" t="str">
        <f t="shared" si="35"/>
        <v/>
      </c>
      <c r="J619" s="84">
        <f t="shared" si="36"/>
        <v>0</v>
      </c>
    </row>
    <row r="620" spans="6:10" ht="15">
      <c r="F620" s="74">
        <f t="shared" si="34"/>
        <v>0</v>
      </c>
      <c r="I620" s="84" t="str">
        <f t="shared" si="35"/>
        <v/>
      </c>
      <c r="J620" s="84">
        <f t="shared" si="36"/>
        <v>0</v>
      </c>
    </row>
    <row r="621" spans="6:10" ht="15">
      <c r="F621" s="74">
        <f t="shared" si="34"/>
        <v>0</v>
      </c>
      <c r="I621" s="84" t="str">
        <f t="shared" si="35"/>
        <v/>
      </c>
      <c r="J621" s="84">
        <f t="shared" si="36"/>
        <v>0</v>
      </c>
    </row>
    <row r="622" spans="6:10" ht="15">
      <c r="F622" s="74">
        <f t="shared" si="34"/>
        <v>0</v>
      </c>
      <c r="I622" s="84" t="str">
        <f t="shared" si="35"/>
        <v/>
      </c>
      <c r="J622" s="84">
        <f t="shared" si="36"/>
        <v>0</v>
      </c>
    </row>
    <row r="623" spans="6:10" ht="15">
      <c r="F623" s="74">
        <f t="shared" si="34"/>
        <v>0</v>
      </c>
      <c r="I623" s="84" t="str">
        <f t="shared" si="35"/>
        <v/>
      </c>
      <c r="J623" s="84">
        <f t="shared" si="36"/>
        <v>0</v>
      </c>
    </row>
    <row r="624" spans="6:10" ht="15">
      <c r="F624" s="74">
        <f t="shared" si="34"/>
        <v>0</v>
      </c>
      <c r="I624" s="84" t="str">
        <f t="shared" si="35"/>
        <v/>
      </c>
      <c r="J624" s="84">
        <f t="shared" si="36"/>
        <v>0</v>
      </c>
    </row>
    <row r="625" spans="6:10" ht="15">
      <c r="F625" s="74">
        <f t="shared" si="34"/>
        <v>0</v>
      </c>
      <c r="I625" s="84" t="str">
        <f t="shared" si="35"/>
        <v/>
      </c>
      <c r="J625" s="84">
        <f t="shared" si="36"/>
        <v>0</v>
      </c>
    </row>
    <row r="626" spans="6:10" ht="15">
      <c r="F626" s="74">
        <f t="shared" si="34"/>
        <v>0</v>
      </c>
      <c r="I626" s="84" t="str">
        <f t="shared" si="35"/>
        <v/>
      </c>
      <c r="J626" s="84">
        <f t="shared" si="36"/>
        <v>0</v>
      </c>
    </row>
    <row r="627" spans="6:10" ht="15">
      <c r="F627" s="74">
        <f t="shared" si="34"/>
        <v>0</v>
      </c>
      <c r="I627" s="84" t="str">
        <f t="shared" si="35"/>
        <v/>
      </c>
      <c r="J627" s="84">
        <f t="shared" si="36"/>
        <v>0</v>
      </c>
    </row>
    <row r="628" spans="6:10" ht="15">
      <c r="F628" s="74">
        <f t="shared" si="34"/>
        <v>0</v>
      </c>
      <c r="I628" s="84" t="str">
        <f t="shared" si="35"/>
        <v/>
      </c>
      <c r="J628" s="84">
        <f t="shared" si="36"/>
        <v>0</v>
      </c>
    </row>
    <row r="629" spans="6:10" ht="15">
      <c r="F629" s="74">
        <f t="shared" si="34"/>
        <v>0</v>
      </c>
      <c r="I629" s="84" t="str">
        <f t="shared" si="35"/>
        <v/>
      </c>
      <c r="J629" s="84">
        <f t="shared" si="36"/>
        <v>0</v>
      </c>
    </row>
    <row r="630" spans="6:10" ht="15">
      <c r="F630" s="74">
        <f t="shared" si="34"/>
        <v>0</v>
      </c>
      <c r="I630" s="84" t="str">
        <f t="shared" si="35"/>
        <v/>
      </c>
      <c r="J630" s="84">
        <f t="shared" si="36"/>
        <v>0</v>
      </c>
    </row>
    <row r="631" spans="6:10" ht="15">
      <c r="F631" s="74">
        <f t="shared" si="34"/>
        <v>0</v>
      </c>
      <c r="I631" s="84" t="str">
        <f t="shared" si="35"/>
        <v/>
      </c>
      <c r="J631" s="84">
        <f t="shared" si="36"/>
        <v>0</v>
      </c>
    </row>
    <row r="632" spans="6:10" ht="15">
      <c r="F632" s="74">
        <f t="shared" si="34"/>
        <v>0</v>
      </c>
      <c r="I632" s="84" t="str">
        <f t="shared" si="35"/>
        <v/>
      </c>
      <c r="J632" s="84">
        <f t="shared" si="36"/>
        <v>0</v>
      </c>
    </row>
    <row r="633" spans="6:10" ht="15">
      <c r="F633" s="74">
        <f t="shared" si="34"/>
        <v>0</v>
      </c>
      <c r="I633" s="84" t="str">
        <f t="shared" si="35"/>
        <v/>
      </c>
      <c r="J633" s="84">
        <f t="shared" si="36"/>
        <v>0</v>
      </c>
    </row>
    <row r="634" spans="6:10" ht="15">
      <c r="F634" s="74">
        <f t="shared" si="34"/>
        <v>0</v>
      </c>
      <c r="I634" s="84" t="str">
        <f t="shared" si="35"/>
        <v/>
      </c>
      <c r="J634" s="84">
        <f t="shared" si="36"/>
        <v>0</v>
      </c>
    </row>
    <row r="635" spans="6:10" ht="15">
      <c r="F635" s="74">
        <f t="shared" si="34"/>
        <v>0</v>
      </c>
      <c r="I635" s="84" t="str">
        <f t="shared" si="35"/>
        <v/>
      </c>
      <c r="J635" s="84">
        <f t="shared" si="36"/>
        <v>0</v>
      </c>
    </row>
    <row r="636" spans="6:10" ht="15">
      <c r="F636" s="74">
        <f t="shared" si="34"/>
        <v>0</v>
      </c>
      <c r="I636" s="84" t="str">
        <f t="shared" si="35"/>
        <v/>
      </c>
      <c r="J636" s="84">
        <f t="shared" si="36"/>
        <v>0</v>
      </c>
    </row>
    <row r="637" spans="6:10" ht="15">
      <c r="F637" s="74">
        <f t="shared" si="34"/>
        <v>0</v>
      </c>
      <c r="I637" s="84" t="str">
        <f t="shared" si="35"/>
        <v/>
      </c>
      <c r="J637" s="84">
        <f t="shared" si="36"/>
        <v>0</v>
      </c>
    </row>
    <row r="638" spans="6:10" ht="15">
      <c r="F638" s="74">
        <f t="shared" si="34"/>
        <v>0</v>
      </c>
      <c r="I638" s="84" t="str">
        <f t="shared" si="35"/>
        <v/>
      </c>
      <c r="J638" s="84">
        <f t="shared" si="36"/>
        <v>0</v>
      </c>
    </row>
    <row r="639" spans="6:10" ht="15">
      <c r="F639" s="74">
        <f t="shared" si="34"/>
        <v>0</v>
      </c>
      <c r="I639" s="84" t="str">
        <f t="shared" si="35"/>
        <v/>
      </c>
      <c r="J639" s="84">
        <f t="shared" si="36"/>
        <v>0</v>
      </c>
    </row>
    <row r="640" spans="6:10" ht="15">
      <c r="F640" s="74">
        <f t="shared" si="34"/>
        <v>0</v>
      </c>
      <c r="I640" s="84" t="str">
        <f t="shared" si="35"/>
        <v/>
      </c>
      <c r="J640" s="84">
        <f t="shared" si="36"/>
        <v>0</v>
      </c>
    </row>
    <row r="641" spans="6:10" ht="15">
      <c r="F641" s="74">
        <f t="shared" si="34"/>
        <v>0</v>
      </c>
      <c r="I641" s="84" t="str">
        <f t="shared" si="35"/>
        <v/>
      </c>
      <c r="J641" s="84">
        <f t="shared" si="36"/>
        <v>0</v>
      </c>
    </row>
    <row r="642" spans="6:10" ht="15">
      <c r="F642" s="74">
        <f t="shared" si="34"/>
        <v>0</v>
      </c>
      <c r="I642" s="84" t="str">
        <f t="shared" si="35"/>
        <v/>
      </c>
      <c r="J642" s="84">
        <f t="shared" si="36"/>
        <v>0</v>
      </c>
    </row>
    <row r="643" spans="6:10" ht="15">
      <c r="F643" s="74">
        <f t="shared" si="34"/>
        <v>0</v>
      </c>
      <c r="I643" s="84" t="str">
        <f t="shared" si="35"/>
        <v/>
      </c>
      <c r="J643" s="84">
        <f t="shared" si="36"/>
        <v>0</v>
      </c>
    </row>
    <row r="644" spans="6:10" ht="15">
      <c r="F644" s="74">
        <f t="shared" si="34"/>
        <v>0</v>
      </c>
      <c r="I644" s="84" t="str">
        <f t="shared" si="35"/>
        <v/>
      </c>
      <c r="J644" s="84">
        <f t="shared" si="36"/>
        <v>0</v>
      </c>
    </row>
    <row r="645" spans="6:10" ht="15">
      <c r="F645" s="74">
        <f t="shared" si="34"/>
        <v>0</v>
      </c>
      <c r="I645" s="84" t="str">
        <f t="shared" si="35"/>
        <v/>
      </c>
      <c r="J645" s="84">
        <f t="shared" si="36"/>
        <v>0</v>
      </c>
    </row>
    <row r="646" spans="6:10" ht="15">
      <c r="F646" s="74">
        <f t="shared" si="34"/>
        <v>0</v>
      </c>
      <c r="I646" s="84" t="str">
        <f t="shared" si="35"/>
        <v/>
      </c>
      <c r="J646" s="84">
        <f t="shared" si="36"/>
        <v>0</v>
      </c>
    </row>
    <row r="647" spans="6:10" ht="15">
      <c r="F647" s="74">
        <f aca="true" t="shared" si="37" ref="F647:F710">D647</f>
        <v>0</v>
      </c>
      <c r="I647" s="84" t="str">
        <f t="shared" si="35"/>
        <v/>
      </c>
      <c r="J647" s="84">
        <f t="shared" si="36"/>
        <v>0</v>
      </c>
    </row>
    <row r="648" spans="6:10" ht="15">
      <c r="F648" s="74">
        <f t="shared" si="37"/>
        <v>0</v>
      </c>
      <c r="I648" s="84" t="str">
        <f t="shared" si="35"/>
        <v/>
      </c>
      <c r="J648" s="84">
        <f t="shared" si="36"/>
        <v>0</v>
      </c>
    </row>
    <row r="649" spans="6:10" ht="15">
      <c r="F649" s="74">
        <f t="shared" si="37"/>
        <v>0</v>
      </c>
      <c r="I649" s="84" t="str">
        <f t="shared" si="35"/>
        <v/>
      </c>
      <c r="J649" s="84">
        <f t="shared" si="36"/>
        <v>0</v>
      </c>
    </row>
    <row r="650" spans="6:10" ht="15">
      <c r="F650" s="74">
        <f t="shared" si="37"/>
        <v>0</v>
      </c>
      <c r="I650" s="84" t="str">
        <f t="shared" si="35"/>
        <v/>
      </c>
      <c r="J650" s="84">
        <f t="shared" si="36"/>
        <v>0</v>
      </c>
    </row>
    <row r="651" spans="6:10" ht="15">
      <c r="F651" s="74">
        <f t="shared" si="37"/>
        <v>0</v>
      </c>
      <c r="I651" s="84" t="str">
        <f t="shared" si="35"/>
        <v/>
      </c>
      <c r="J651" s="84">
        <f t="shared" si="36"/>
        <v>0</v>
      </c>
    </row>
    <row r="652" spans="6:10" ht="15">
      <c r="F652" s="74">
        <f t="shared" si="37"/>
        <v>0</v>
      </c>
      <c r="I652" s="84" t="str">
        <f t="shared" si="35"/>
        <v/>
      </c>
      <c r="J652" s="84">
        <f t="shared" si="36"/>
        <v>0</v>
      </c>
    </row>
    <row r="653" spans="6:10" ht="15">
      <c r="F653" s="74">
        <f t="shared" si="37"/>
        <v>0</v>
      </c>
      <c r="I653" s="84" t="str">
        <f t="shared" si="35"/>
        <v/>
      </c>
      <c r="J653" s="84">
        <f t="shared" si="36"/>
        <v>0</v>
      </c>
    </row>
    <row r="654" spans="6:10" ht="15">
      <c r="F654" s="74">
        <f t="shared" si="37"/>
        <v>0</v>
      </c>
      <c r="I654" s="84" t="str">
        <f t="shared" si="35"/>
        <v/>
      </c>
      <c r="J654" s="84">
        <f t="shared" si="36"/>
        <v>0</v>
      </c>
    </row>
    <row r="655" spans="6:10" ht="15">
      <c r="F655" s="74">
        <f t="shared" si="37"/>
        <v>0</v>
      </c>
      <c r="I655" s="84" t="str">
        <f t="shared" si="35"/>
        <v/>
      </c>
      <c r="J655" s="84">
        <f t="shared" si="36"/>
        <v>0</v>
      </c>
    </row>
    <row r="656" spans="6:10" ht="15">
      <c r="F656" s="74">
        <f t="shared" si="37"/>
        <v>0</v>
      </c>
      <c r="I656" s="84" t="str">
        <f t="shared" si="35"/>
        <v/>
      </c>
      <c r="J656" s="84">
        <f t="shared" si="36"/>
        <v>0</v>
      </c>
    </row>
    <row r="657" spans="6:10" ht="15">
      <c r="F657" s="74">
        <f t="shared" si="37"/>
        <v>0</v>
      </c>
      <c r="I657" s="84" t="str">
        <f t="shared" si="35"/>
        <v/>
      </c>
      <c r="J657" s="84">
        <f t="shared" si="36"/>
        <v>0</v>
      </c>
    </row>
    <row r="658" spans="6:10" ht="15">
      <c r="F658" s="74">
        <f t="shared" si="37"/>
        <v>0</v>
      </c>
      <c r="I658" s="84" t="str">
        <f t="shared" si="35"/>
        <v/>
      </c>
      <c r="J658" s="84">
        <f t="shared" si="36"/>
        <v>0</v>
      </c>
    </row>
    <row r="659" spans="6:10" ht="15">
      <c r="F659" s="74">
        <f t="shared" si="37"/>
        <v>0</v>
      </c>
      <c r="I659" s="84" t="str">
        <f t="shared" si="35"/>
        <v/>
      </c>
      <c r="J659" s="84">
        <f t="shared" si="36"/>
        <v>0</v>
      </c>
    </row>
    <row r="660" spans="6:10" ht="15">
      <c r="F660" s="74">
        <f t="shared" si="37"/>
        <v>0</v>
      </c>
      <c r="I660" s="84" t="str">
        <f t="shared" si="35"/>
        <v/>
      </c>
      <c r="J660" s="84">
        <f t="shared" si="36"/>
        <v>0</v>
      </c>
    </row>
    <row r="661" spans="6:10" ht="15">
      <c r="F661" s="74">
        <f t="shared" si="37"/>
        <v>0</v>
      </c>
      <c r="I661" s="84" t="str">
        <f t="shared" si="35"/>
        <v/>
      </c>
      <c r="J661" s="84">
        <f t="shared" si="36"/>
        <v>0</v>
      </c>
    </row>
    <row r="662" spans="6:10" ht="15">
      <c r="F662" s="74">
        <f t="shared" si="37"/>
        <v>0</v>
      </c>
      <c r="I662" s="84" t="str">
        <f t="shared" si="35"/>
        <v/>
      </c>
      <c r="J662" s="84">
        <f t="shared" si="36"/>
        <v>0</v>
      </c>
    </row>
    <row r="663" spans="6:10" ht="15">
      <c r="F663" s="74">
        <f t="shared" si="37"/>
        <v>0</v>
      </c>
      <c r="I663" s="84" t="str">
        <f t="shared" si="35"/>
        <v/>
      </c>
      <c r="J663" s="84">
        <f t="shared" si="36"/>
        <v>0</v>
      </c>
    </row>
    <row r="664" spans="6:10" ht="15">
      <c r="F664" s="74">
        <f t="shared" si="37"/>
        <v>0</v>
      </c>
      <c r="I664" s="84" t="str">
        <f t="shared" si="35"/>
        <v/>
      </c>
      <c r="J664" s="84">
        <f t="shared" si="36"/>
        <v>0</v>
      </c>
    </row>
    <row r="665" spans="6:10" ht="15">
      <c r="F665" s="74">
        <f t="shared" si="37"/>
        <v>0</v>
      </c>
      <c r="I665" s="84" t="str">
        <f aca="true" t="shared" si="38" ref="I665:I728">IF(C665&gt;0,1,"")</f>
        <v/>
      </c>
      <c r="J665" s="84">
        <f aca="true" t="shared" si="39" ref="J665:J728">_xlfn.IFERROR(IF(AND(SUM(E665:H665)&gt;1000,I665&gt;0),((ROUNDUP(SUM(E665:H665)/1000,0)-1)*I665),0),0)</f>
        <v>0</v>
      </c>
    </row>
    <row r="666" spans="6:10" ht="15">
      <c r="F666" s="74">
        <f t="shared" si="37"/>
        <v>0</v>
      </c>
      <c r="I666" s="84" t="str">
        <f t="shared" si="38"/>
        <v/>
      </c>
      <c r="J666" s="84">
        <f t="shared" si="39"/>
        <v>0</v>
      </c>
    </row>
    <row r="667" spans="6:10" ht="15">
      <c r="F667" s="74">
        <f t="shared" si="37"/>
        <v>0</v>
      </c>
      <c r="I667" s="84" t="str">
        <f t="shared" si="38"/>
        <v/>
      </c>
      <c r="J667" s="84">
        <f t="shared" si="39"/>
        <v>0</v>
      </c>
    </row>
    <row r="668" spans="6:10" ht="15">
      <c r="F668" s="74">
        <f t="shared" si="37"/>
        <v>0</v>
      </c>
      <c r="I668" s="84" t="str">
        <f t="shared" si="38"/>
        <v/>
      </c>
      <c r="J668" s="84">
        <f t="shared" si="39"/>
        <v>0</v>
      </c>
    </row>
    <row r="669" spans="6:10" ht="15">
      <c r="F669" s="74">
        <f t="shared" si="37"/>
        <v>0</v>
      </c>
      <c r="I669" s="84" t="str">
        <f t="shared" si="38"/>
        <v/>
      </c>
      <c r="J669" s="84">
        <f t="shared" si="39"/>
        <v>0</v>
      </c>
    </row>
    <row r="670" spans="6:10" ht="15">
      <c r="F670" s="74">
        <f t="shared" si="37"/>
        <v>0</v>
      </c>
      <c r="I670" s="84" t="str">
        <f t="shared" si="38"/>
        <v/>
      </c>
      <c r="J670" s="84">
        <f t="shared" si="39"/>
        <v>0</v>
      </c>
    </row>
    <row r="671" spans="6:10" ht="15">
      <c r="F671" s="74">
        <f t="shared" si="37"/>
        <v>0</v>
      </c>
      <c r="I671" s="84" t="str">
        <f t="shared" si="38"/>
        <v/>
      </c>
      <c r="J671" s="84">
        <f t="shared" si="39"/>
        <v>0</v>
      </c>
    </row>
    <row r="672" spans="6:10" ht="15">
      <c r="F672" s="74">
        <f t="shared" si="37"/>
        <v>0</v>
      </c>
      <c r="I672" s="84" t="str">
        <f t="shared" si="38"/>
        <v/>
      </c>
      <c r="J672" s="84">
        <f t="shared" si="39"/>
        <v>0</v>
      </c>
    </row>
    <row r="673" spans="6:10" ht="15">
      <c r="F673" s="74">
        <f t="shared" si="37"/>
        <v>0</v>
      </c>
      <c r="I673" s="84" t="str">
        <f t="shared" si="38"/>
        <v/>
      </c>
      <c r="J673" s="84">
        <f t="shared" si="39"/>
        <v>0</v>
      </c>
    </row>
    <row r="674" spans="6:10" ht="15">
      <c r="F674" s="74">
        <f t="shared" si="37"/>
        <v>0</v>
      </c>
      <c r="I674" s="84" t="str">
        <f t="shared" si="38"/>
        <v/>
      </c>
      <c r="J674" s="84">
        <f t="shared" si="39"/>
        <v>0</v>
      </c>
    </row>
    <row r="675" spans="6:10" ht="15">
      <c r="F675" s="74">
        <f t="shared" si="37"/>
        <v>0</v>
      </c>
      <c r="I675" s="84" t="str">
        <f t="shared" si="38"/>
        <v/>
      </c>
      <c r="J675" s="84">
        <f t="shared" si="39"/>
        <v>0</v>
      </c>
    </row>
    <row r="676" spans="6:10" ht="15">
      <c r="F676" s="74">
        <f t="shared" si="37"/>
        <v>0</v>
      </c>
      <c r="I676" s="84" t="str">
        <f t="shared" si="38"/>
        <v/>
      </c>
      <c r="J676" s="84">
        <f t="shared" si="39"/>
        <v>0</v>
      </c>
    </row>
    <row r="677" spans="6:10" ht="15">
      <c r="F677" s="74">
        <f t="shared" si="37"/>
        <v>0</v>
      </c>
      <c r="I677" s="84" t="str">
        <f t="shared" si="38"/>
        <v/>
      </c>
      <c r="J677" s="84">
        <f t="shared" si="39"/>
        <v>0</v>
      </c>
    </row>
    <row r="678" spans="6:10" ht="15">
      <c r="F678" s="74">
        <f t="shared" si="37"/>
        <v>0</v>
      </c>
      <c r="I678" s="84" t="str">
        <f t="shared" si="38"/>
        <v/>
      </c>
      <c r="J678" s="84">
        <f t="shared" si="39"/>
        <v>0</v>
      </c>
    </row>
    <row r="679" spans="6:10" ht="15">
      <c r="F679" s="74">
        <f t="shared" si="37"/>
        <v>0</v>
      </c>
      <c r="I679" s="84" t="str">
        <f t="shared" si="38"/>
        <v/>
      </c>
      <c r="J679" s="84">
        <f t="shared" si="39"/>
        <v>0</v>
      </c>
    </row>
    <row r="680" spans="6:10" ht="15">
      <c r="F680" s="74">
        <f t="shared" si="37"/>
        <v>0</v>
      </c>
      <c r="I680" s="84" t="str">
        <f t="shared" si="38"/>
        <v/>
      </c>
      <c r="J680" s="84">
        <f t="shared" si="39"/>
        <v>0</v>
      </c>
    </row>
    <row r="681" spans="6:10" ht="15">
      <c r="F681" s="74">
        <f t="shared" si="37"/>
        <v>0</v>
      </c>
      <c r="I681" s="84" t="str">
        <f t="shared" si="38"/>
        <v/>
      </c>
      <c r="J681" s="84">
        <f t="shared" si="39"/>
        <v>0</v>
      </c>
    </row>
    <row r="682" spans="6:10" ht="15">
      <c r="F682" s="74">
        <f t="shared" si="37"/>
        <v>0</v>
      </c>
      <c r="I682" s="84" t="str">
        <f t="shared" si="38"/>
        <v/>
      </c>
      <c r="J682" s="84">
        <f t="shared" si="39"/>
        <v>0</v>
      </c>
    </row>
    <row r="683" spans="6:10" ht="15">
      <c r="F683" s="74">
        <f t="shared" si="37"/>
        <v>0</v>
      </c>
      <c r="I683" s="84" t="str">
        <f t="shared" si="38"/>
        <v/>
      </c>
      <c r="J683" s="84">
        <f t="shared" si="39"/>
        <v>0</v>
      </c>
    </row>
    <row r="684" spans="6:10" ht="15">
      <c r="F684" s="74">
        <f t="shared" si="37"/>
        <v>0</v>
      </c>
      <c r="I684" s="84" t="str">
        <f t="shared" si="38"/>
        <v/>
      </c>
      <c r="J684" s="84">
        <f t="shared" si="39"/>
        <v>0</v>
      </c>
    </row>
    <row r="685" spans="6:10" ht="15">
      <c r="F685" s="74">
        <f t="shared" si="37"/>
        <v>0</v>
      </c>
      <c r="I685" s="84" t="str">
        <f t="shared" si="38"/>
        <v/>
      </c>
      <c r="J685" s="84">
        <f t="shared" si="39"/>
        <v>0</v>
      </c>
    </row>
    <row r="686" spans="6:10" ht="15">
      <c r="F686" s="74">
        <f t="shared" si="37"/>
        <v>0</v>
      </c>
      <c r="I686" s="84" t="str">
        <f t="shared" si="38"/>
        <v/>
      </c>
      <c r="J686" s="84">
        <f t="shared" si="39"/>
        <v>0</v>
      </c>
    </row>
    <row r="687" spans="6:10" ht="15">
      <c r="F687" s="74">
        <f t="shared" si="37"/>
        <v>0</v>
      </c>
      <c r="I687" s="84" t="str">
        <f t="shared" si="38"/>
        <v/>
      </c>
      <c r="J687" s="84">
        <f t="shared" si="39"/>
        <v>0</v>
      </c>
    </row>
    <row r="688" spans="6:10" ht="15">
      <c r="F688" s="74">
        <f t="shared" si="37"/>
        <v>0</v>
      </c>
      <c r="I688" s="84" t="str">
        <f t="shared" si="38"/>
        <v/>
      </c>
      <c r="J688" s="84">
        <f t="shared" si="39"/>
        <v>0</v>
      </c>
    </row>
    <row r="689" spans="6:10" ht="15">
      <c r="F689" s="74">
        <f t="shared" si="37"/>
        <v>0</v>
      </c>
      <c r="I689" s="84" t="str">
        <f t="shared" si="38"/>
        <v/>
      </c>
      <c r="J689" s="84">
        <f t="shared" si="39"/>
        <v>0</v>
      </c>
    </row>
    <row r="690" spans="6:10" ht="15">
      <c r="F690" s="74">
        <f t="shared" si="37"/>
        <v>0</v>
      </c>
      <c r="I690" s="84" t="str">
        <f t="shared" si="38"/>
        <v/>
      </c>
      <c r="J690" s="84">
        <f t="shared" si="39"/>
        <v>0</v>
      </c>
    </row>
    <row r="691" spans="6:10" ht="15">
      <c r="F691" s="74">
        <f t="shared" si="37"/>
        <v>0</v>
      </c>
      <c r="I691" s="84" t="str">
        <f t="shared" si="38"/>
        <v/>
      </c>
      <c r="J691" s="84">
        <f t="shared" si="39"/>
        <v>0</v>
      </c>
    </row>
    <row r="692" spans="6:10" ht="15">
      <c r="F692" s="74">
        <f t="shared" si="37"/>
        <v>0</v>
      </c>
      <c r="I692" s="84" t="str">
        <f t="shared" si="38"/>
        <v/>
      </c>
      <c r="J692" s="84">
        <f t="shared" si="39"/>
        <v>0</v>
      </c>
    </row>
    <row r="693" spans="6:10" ht="15">
      <c r="F693" s="74">
        <f t="shared" si="37"/>
        <v>0</v>
      </c>
      <c r="I693" s="84" t="str">
        <f t="shared" si="38"/>
        <v/>
      </c>
      <c r="J693" s="84">
        <f t="shared" si="39"/>
        <v>0</v>
      </c>
    </row>
    <row r="694" spans="6:10" ht="15">
      <c r="F694" s="74">
        <f t="shared" si="37"/>
        <v>0</v>
      </c>
      <c r="I694" s="84" t="str">
        <f t="shared" si="38"/>
        <v/>
      </c>
      <c r="J694" s="84">
        <f t="shared" si="39"/>
        <v>0</v>
      </c>
    </row>
    <row r="695" spans="6:10" ht="15">
      <c r="F695" s="74">
        <f t="shared" si="37"/>
        <v>0</v>
      </c>
      <c r="I695" s="84" t="str">
        <f t="shared" si="38"/>
        <v/>
      </c>
      <c r="J695" s="84">
        <f t="shared" si="39"/>
        <v>0</v>
      </c>
    </row>
    <row r="696" spans="6:10" ht="15">
      <c r="F696" s="74">
        <f t="shared" si="37"/>
        <v>0</v>
      </c>
      <c r="I696" s="84" t="str">
        <f t="shared" si="38"/>
        <v/>
      </c>
      <c r="J696" s="84">
        <f t="shared" si="39"/>
        <v>0</v>
      </c>
    </row>
    <row r="697" spans="6:10" ht="15">
      <c r="F697" s="74">
        <f t="shared" si="37"/>
        <v>0</v>
      </c>
      <c r="I697" s="84" t="str">
        <f t="shared" si="38"/>
        <v/>
      </c>
      <c r="J697" s="84">
        <f t="shared" si="39"/>
        <v>0</v>
      </c>
    </row>
    <row r="698" spans="6:10" ht="15">
      <c r="F698" s="74">
        <f t="shared" si="37"/>
        <v>0</v>
      </c>
      <c r="I698" s="84" t="str">
        <f t="shared" si="38"/>
        <v/>
      </c>
      <c r="J698" s="84">
        <f t="shared" si="39"/>
        <v>0</v>
      </c>
    </row>
    <row r="699" spans="6:10" ht="15">
      <c r="F699" s="74">
        <f t="shared" si="37"/>
        <v>0</v>
      </c>
      <c r="I699" s="84" t="str">
        <f t="shared" si="38"/>
        <v/>
      </c>
      <c r="J699" s="84">
        <f t="shared" si="39"/>
        <v>0</v>
      </c>
    </row>
    <row r="700" spans="6:10" ht="15">
      <c r="F700" s="74">
        <f t="shared" si="37"/>
        <v>0</v>
      </c>
      <c r="I700" s="84" t="str">
        <f t="shared" si="38"/>
        <v/>
      </c>
      <c r="J700" s="84">
        <f t="shared" si="39"/>
        <v>0</v>
      </c>
    </row>
    <row r="701" spans="6:10" ht="15">
      <c r="F701" s="74">
        <f t="shared" si="37"/>
        <v>0</v>
      </c>
      <c r="I701" s="84" t="str">
        <f t="shared" si="38"/>
        <v/>
      </c>
      <c r="J701" s="84">
        <f t="shared" si="39"/>
        <v>0</v>
      </c>
    </row>
    <row r="702" spans="6:10" ht="15">
      <c r="F702" s="74">
        <f t="shared" si="37"/>
        <v>0</v>
      </c>
      <c r="I702" s="84" t="str">
        <f t="shared" si="38"/>
        <v/>
      </c>
      <c r="J702" s="84">
        <f t="shared" si="39"/>
        <v>0</v>
      </c>
    </row>
    <row r="703" spans="6:10" ht="15">
      <c r="F703" s="74">
        <f t="shared" si="37"/>
        <v>0</v>
      </c>
      <c r="I703" s="84" t="str">
        <f t="shared" si="38"/>
        <v/>
      </c>
      <c r="J703" s="84">
        <f t="shared" si="39"/>
        <v>0</v>
      </c>
    </row>
    <row r="704" spans="6:10" ht="15">
      <c r="F704" s="74">
        <f t="shared" si="37"/>
        <v>0</v>
      </c>
      <c r="I704" s="84" t="str">
        <f t="shared" si="38"/>
        <v/>
      </c>
      <c r="J704" s="84">
        <f t="shared" si="39"/>
        <v>0</v>
      </c>
    </row>
    <row r="705" spans="6:10" ht="15">
      <c r="F705" s="74">
        <f t="shared" si="37"/>
        <v>0</v>
      </c>
      <c r="I705" s="84" t="str">
        <f t="shared" si="38"/>
        <v/>
      </c>
      <c r="J705" s="84">
        <f t="shared" si="39"/>
        <v>0</v>
      </c>
    </row>
    <row r="706" spans="6:10" ht="15">
      <c r="F706" s="74">
        <f t="shared" si="37"/>
        <v>0</v>
      </c>
      <c r="I706" s="84" t="str">
        <f t="shared" si="38"/>
        <v/>
      </c>
      <c r="J706" s="84">
        <f t="shared" si="39"/>
        <v>0</v>
      </c>
    </row>
    <row r="707" spans="6:10" ht="15">
      <c r="F707" s="74">
        <f t="shared" si="37"/>
        <v>0</v>
      </c>
      <c r="I707" s="84" t="str">
        <f t="shared" si="38"/>
        <v/>
      </c>
      <c r="J707" s="84">
        <f t="shared" si="39"/>
        <v>0</v>
      </c>
    </row>
    <row r="708" spans="6:10" ht="15">
      <c r="F708" s="74">
        <f t="shared" si="37"/>
        <v>0</v>
      </c>
      <c r="I708" s="84" t="str">
        <f t="shared" si="38"/>
        <v/>
      </c>
      <c r="J708" s="84">
        <f t="shared" si="39"/>
        <v>0</v>
      </c>
    </row>
    <row r="709" spans="6:10" ht="15">
      <c r="F709" s="74">
        <f t="shared" si="37"/>
        <v>0</v>
      </c>
      <c r="I709" s="84" t="str">
        <f t="shared" si="38"/>
        <v/>
      </c>
      <c r="J709" s="84">
        <f t="shared" si="39"/>
        <v>0</v>
      </c>
    </row>
    <row r="710" spans="6:10" ht="15">
      <c r="F710" s="74">
        <f t="shared" si="37"/>
        <v>0</v>
      </c>
      <c r="I710" s="84" t="str">
        <f t="shared" si="38"/>
        <v/>
      </c>
      <c r="J710" s="84">
        <f t="shared" si="39"/>
        <v>0</v>
      </c>
    </row>
    <row r="711" spans="6:10" ht="15">
      <c r="F711" s="74">
        <f aca="true" t="shared" si="40" ref="F711:F774">D711</f>
        <v>0</v>
      </c>
      <c r="I711" s="84" t="str">
        <f t="shared" si="38"/>
        <v/>
      </c>
      <c r="J711" s="84">
        <f t="shared" si="39"/>
        <v>0</v>
      </c>
    </row>
    <row r="712" spans="6:10" ht="15">
      <c r="F712" s="74">
        <f t="shared" si="40"/>
        <v>0</v>
      </c>
      <c r="I712" s="84" t="str">
        <f t="shared" si="38"/>
        <v/>
      </c>
      <c r="J712" s="84">
        <f t="shared" si="39"/>
        <v>0</v>
      </c>
    </row>
    <row r="713" spans="6:10" ht="15">
      <c r="F713" s="74">
        <f t="shared" si="40"/>
        <v>0</v>
      </c>
      <c r="I713" s="84" t="str">
        <f t="shared" si="38"/>
        <v/>
      </c>
      <c r="J713" s="84">
        <f t="shared" si="39"/>
        <v>0</v>
      </c>
    </row>
    <row r="714" spans="6:10" ht="15">
      <c r="F714" s="74">
        <f t="shared" si="40"/>
        <v>0</v>
      </c>
      <c r="I714" s="84" t="str">
        <f t="shared" si="38"/>
        <v/>
      </c>
      <c r="J714" s="84">
        <f t="shared" si="39"/>
        <v>0</v>
      </c>
    </row>
    <row r="715" spans="6:10" ht="15">
      <c r="F715" s="74">
        <f t="shared" si="40"/>
        <v>0</v>
      </c>
      <c r="I715" s="84" t="str">
        <f t="shared" si="38"/>
        <v/>
      </c>
      <c r="J715" s="84">
        <f t="shared" si="39"/>
        <v>0</v>
      </c>
    </row>
    <row r="716" spans="6:10" ht="15">
      <c r="F716" s="74">
        <f t="shared" si="40"/>
        <v>0</v>
      </c>
      <c r="I716" s="84" t="str">
        <f t="shared" si="38"/>
        <v/>
      </c>
      <c r="J716" s="84">
        <f t="shared" si="39"/>
        <v>0</v>
      </c>
    </row>
    <row r="717" spans="6:10" ht="15">
      <c r="F717" s="74">
        <f t="shared" si="40"/>
        <v>0</v>
      </c>
      <c r="I717" s="84" t="str">
        <f t="shared" si="38"/>
        <v/>
      </c>
      <c r="J717" s="84">
        <f t="shared" si="39"/>
        <v>0</v>
      </c>
    </row>
    <row r="718" spans="6:10" ht="15">
      <c r="F718" s="74">
        <f t="shared" si="40"/>
        <v>0</v>
      </c>
      <c r="I718" s="84" t="str">
        <f t="shared" si="38"/>
        <v/>
      </c>
      <c r="J718" s="84">
        <f t="shared" si="39"/>
        <v>0</v>
      </c>
    </row>
    <row r="719" spans="6:10" ht="15">
      <c r="F719" s="74">
        <f t="shared" si="40"/>
        <v>0</v>
      </c>
      <c r="I719" s="84" t="str">
        <f t="shared" si="38"/>
        <v/>
      </c>
      <c r="J719" s="84">
        <f t="shared" si="39"/>
        <v>0</v>
      </c>
    </row>
    <row r="720" spans="6:10" ht="15">
      <c r="F720" s="74">
        <f t="shared" si="40"/>
        <v>0</v>
      </c>
      <c r="I720" s="84" t="str">
        <f t="shared" si="38"/>
        <v/>
      </c>
      <c r="J720" s="84">
        <f t="shared" si="39"/>
        <v>0</v>
      </c>
    </row>
    <row r="721" spans="6:10" ht="15">
      <c r="F721" s="74">
        <f t="shared" si="40"/>
        <v>0</v>
      </c>
      <c r="I721" s="84" t="str">
        <f t="shared" si="38"/>
        <v/>
      </c>
      <c r="J721" s="84">
        <f t="shared" si="39"/>
        <v>0</v>
      </c>
    </row>
    <row r="722" spans="6:10" ht="15">
      <c r="F722" s="74">
        <f t="shared" si="40"/>
        <v>0</v>
      </c>
      <c r="I722" s="84" t="str">
        <f t="shared" si="38"/>
        <v/>
      </c>
      <c r="J722" s="84">
        <f t="shared" si="39"/>
        <v>0</v>
      </c>
    </row>
    <row r="723" spans="6:10" ht="15">
      <c r="F723" s="74">
        <f t="shared" si="40"/>
        <v>0</v>
      </c>
      <c r="I723" s="84" t="str">
        <f t="shared" si="38"/>
        <v/>
      </c>
      <c r="J723" s="84">
        <f t="shared" si="39"/>
        <v>0</v>
      </c>
    </row>
    <row r="724" spans="6:10" ht="15">
      <c r="F724" s="74">
        <f t="shared" si="40"/>
        <v>0</v>
      </c>
      <c r="I724" s="84" t="str">
        <f t="shared" si="38"/>
        <v/>
      </c>
      <c r="J724" s="84">
        <f t="shared" si="39"/>
        <v>0</v>
      </c>
    </row>
    <row r="725" spans="6:10" ht="15">
      <c r="F725" s="74">
        <f t="shared" si="40"/>
        <v>0</v>
      </c>
      <c r="I725" s="84" t="str">
        <f t="shared" si="38"/>
        <v/>
      </c>
      <c r="J725" s="84">
        <f t="shared" si="39"/>
        <v>0</v>
      </c>
    </row>
    <row r="726" spans="6:10" ht="15">
      <c r="F726" s="74">
        <f t="shared" si="40"/>
        <v>0</v>
      </c>
      <c r="I726" s="84" t="str">
        <f t="shared" si="38"/>
        <v/>
      </c>
      <c r="J726" s="84">
        <f t="shared" si="39"/>
        <v>0</v>
      </c>
    </row>
    <row r="727" spans="6:10" ht="15">
      <c r="F727" s="74">
        <f t="shared" si="40"/>
        <v>0</v>
      </c>
      <c r="I727" s="84" t="str">
        <f t="shared" si="38"/>
        <v/>
      </c>
      <c r="J727" s="84">
        <f t="shared" si="39"/>
        <v>0</v>
      </c>
    </row>
    <row r="728" spans="6:10" ht="15">
      <c r="F728" s="74">
        <f t="shared" si="40"/>
        <v>0</v>
      </c>
      <c r="I728" s="84" t="str">
        <f t="shared" si="38"/>
        <v/>
      </c>
      <c r="J728" s="84">
        <f t="shared" si="39"/>
        <v>0</v>
      </c>
    </row>
    <row r="729" spans="6:10" ht="15">
      <c r="F729" s="74">
        <f t="shared" si="40"/>
        <v>0</v>
      </c>
      <c r="I729" s="84" t="str">
        <f aca="true" t="shared" si="41" ref="I729:I792">IF(C729&gt;0,1,"")</f>
        <v/>
      </c>
      <c r="J729" s="84">
        <f aca="true" t="shared" si="42" ref="J729:J792">_xlfn.IFERROR(IF(AND(SUM(E729:H729)&gt;1000,I729&gt;0),((ROUNDUP(SUM(E729:H729)/1000,0)-1)*I729),0),0)</f>
        <v>0</v>
      </c>
    </row>
    <row r="730" spans="6:10" ht="15">
      <c r="F730" s="74">
        <f t="shared" si="40"/>
        <v>0</v>
      </c>
      <c r="I730" s="84" t="str">
        <f t="shared" si="41"/>
        <v/>
      </c>
      <c r="J730" s="84">
        <f t="shared" si="42"/>
        <v>0</v>
      </c>
    </row>
    <row r="731" spans="6:10" ht="15">
      <c r="F731" s="74">
        <f t="shared" si="40"/>
        <v>0</v>
      </c>
      <c r="I731" s="84" t="str">
        <f t="shared" si="41"/>
        <v/>
      </c>
      <c r="J731" s="84">
        <f t="shared" si="42"/>
        <v>0</v>
      </c>
    </row>
    <row r="732" spans="6:10" ht="15">
      <c r="F732" s="74">
        <f t="shared" si="40"/>
        <v>0</v>
      </c>
      <c r="I732" s="84" t="str">
        <f t="shared" si="41"/>
        <v/>
      </c>
      <c r="J732" s="84">
        <f t="shared" si="42"/>
        <v>0</v>
      </c>
    </row>
    <row r="733" spans="6:10" ht="15">
      <c r="F733" s="74">
        <f t="shared" si="40"/>
        <v>0</v>
      </c>
      <c r="I733" s="84" t="str">
        <f t="shared" si="41"/>
        <v/>
      </c>
      <c r="J733" s="84">
        <f t="shared" si="42"/>
        <v>0</v>
      </c>
    </row>
    <row r="734" spans="6:10" ht="15">
      <c r="F734" s="74">
        <f t="shared" si="40"/>
        <v>0</v>
      </c>
      <c r="I734" s="84" t="str">
        <f t="shared" si="41"/>
        <v/>
      </c>
      <c r="J734" s="84">
        <f t="shared" si="42"/>
        <v>0</v>
      </c>
    </row>
    <row r="735" spans="6:10" ht="15">
      <c r="F735" s="74">
        <f t="shared" si="40"/>
        <v>0</v>
      </c>
      <c r="I735" s="84" t="str">
        <f t="shared" si="41"/>
        <v/>
      </c>
      <c r="J735" s="84">
        <f t="shared" si="42"/>
        <v>0</v>
      </c>
    </row>
    <row r="736" spans="6:10" ht="15">
      <c r="F736" s="74">
        <f t="shared" si="40"/>
        <v>0</v>
      </c>
      <c r="I736" s="84" t="str">
        <f t="shared" si="41"/>
        <v/>
      </c>
      <c r="J736" s="84">
        <f t="shared" si="42"/>
        <v>0</v>
      </c>
    </row>
    <row r="737" spans="6:10" ht="15">
      <c r="F737" s="74">
        <f t="shared" si="40"/>
        <v>0</v>
      </c>
      <c r="I737" s="84" t="str">
        <f t="shared" si="41"/>
        <v/>
      </c>
      <c r="J737" s="84">
        <f t="shared" si="42"/>
        <v>0</v>
      </c>
    </row>
    <row r="738" spans="6:10" ht="15">
      <c r="F738" s="74">
        <f t="shared" si="40"/>
        <v>0</v>
      </c>
      <c r="I738" s="84" t="str">
        <f t="shared" si="41"/>
        <v/>
      </c>
      <c r="J738" s="84">
        <f t="shared" si="42"/>
        <v>0</v>
      </c>
    </row>
    <row r="739" spans="6:10" ht="15">
      <c r="F739" s="74">
        <f t="shared" si="40"/>
        <v>0</v>
      </c>
      <c r="I739" s="84" t="str">
        <f t="shared" si="41"/>
        <v/>
      </c>
      <c r="J739" s="84">
        <f t="shared" si="42"/>
        <v>0</v>
      </c>
    </row>
    <row r="740" spans="6:10" ht="15">
      <c r="F740" s="74">
        <f t="shared" si="40"/>
        <v>0</v>
      </c>
      <c r="I740" s="84" t="str">
        <f t="shared" si="41"/>
        <v/>
      </c>
      <c r="J740" s="84">
        <f t="shared" si="42"/>
        <v>0</v>
      </c>
    </row>
    <row r="741" spans="6:10" ht="15">
      <c r="F741" s="74">
        <f t="shared" si="40"/>
        <v>0</v>
      </c>
      <c r="I741" s="84" t="str">
        <f t="shared" si="41"/>
        <v/>
      </c>
      <c r="J741" s="84">
        <f t="shared" si="42"/>
        <v>0</v>
      </c>
    </row>
    <row r="742" spans="6:10" ht="15">
      <c r="F742" s="74">
        <f t="shared" si="40"/>
        <v>0</v>
      </c>
      <c r="I742" s="84" t="str">
        <f t="shared" si="41"/>
        <v/>
      </c>
      <c r="J742" s="84">
        <f t="shared" si="42"/>
        <v>0</v>
      </c>
    </row>
    <row r="743" spans="6:10" ht="15">
      <c r="F743" s="74">
        <f t="shared" si="40"/>
        <v>0</v>
      </c>
      <c r="I743" s="84" t="str">
        <f t="shared" si="41"/>
        <v/>
      </c>
      <c r="J743" s="84">
        <f t="shared" si="42"/>
        <v>0</v>
      </c>
    </row>
    <row r="744" spans="6:10" ht="15">
      <c r="F744" s="74">
        <f t="shared" si="40"/>
        <v>0</v>
      </c>
      <c r="I744" s="84" t="str">
        <f t="shared" si="41"/>
        <v/>
      </c>
      <c r="J744" s="84">
        <f t="shared" si="42"/>
        <v>0</v>
      </c>
    </row>
    <row r="745" spans="6:10" ht="15">
      <c r="F745" s="74">
        <f t="shared" si="40"/>
        <v>0</v>
      </c>
      <c r="I745" s="84" t="str">
        <f t="shared" si="41"/>
        <v/>
      </c>
      <c r="J745" s="84">
        <f t="shared" si="42"/>
        <v>0</v>
      </c>
    </row>
    <row r="746" spans="6:10" ht="15">
      <c r="F746" s="74">
        <f t="shared" si="40"/>
        <v>0</v>
      </c>
      <c r="I746" s="84" t="str">
        <f t="shared" si="41"/>
        <v/>
      </c>
      <c r="J746" s="84">
        <f t="shared" si="42"/>
        <v>0</v>
      </c>
    </row>
    <row r="747" spans="6:10" ht="15">
      <c r="F747" s="74">
        <f t="shared" si="40"/>
        <v>0</v>
      </c>
      <c r="I747" s="84" t="str">
        <f t="shared" si="41"/>
        <v/>
      </c>
      <c r="J747" s="84">
        <f t="shared" si="42"/>
        <v>0</v>
      </c>
    </row>
    <row r="748" spans="6:10" ht="15">
      <c r="F748" s="74">
        <f t="shared" si="40"/>
        <v>0</v>
      </c>
      <c r="I748" s="84" t="str">
        <f t="shared" si="41"/>
        <v/>
      </c>
      <c r="J748" s="84">
        <f t="shared" si="42"/>
        <v>0</v>
      </c>
    </row>
    <row r="749" spans="6:10" ht="15">
      <c r="F749" s="74">
        <f t="shared" si="40"/>
        <v>0</v>
      </c>
      <c r="I749" s="84" t="str">
        <f t="shared" si="41"/>
        <v/>
      </c>
      <c r="J749" s="84">
        <f t="shared" si="42"/>
        <v>0</v>
      </c>
    </row>
    <row r="750" spans="6:10" ht="15">
      <c r="F750" s="74">
        <f t="shared" si="40"/>
        <v>0</v>
      </c>
      <c r="I750" s="84" t="str">
        <f t="shared" si="41"/>
        <v/>
      </c>
      <c r="J750" s="84">
        <f t="shared" si="42"/>
        <v>0</v>
      </c>
    </row>
    <row r="751" spans="6:10" ht="15">
      <c r="F751" s="74">
        <f t="shared" si="40"/>
        <v>0</v>
      </c>
      <c r="I751" s="84" t="str">
        <f t="shared" si="41"/>
        <v/>
      </c>
      <c r="J751" s="84">
        <f t="shared" si="42"/>
        <v>0</v>
      </c>
    </row>
    <row r="752" spans="6:10" ht="15">
      <c r="F752" s="74">
        <f t="shared" si="40"/>
        <v>0</v>
      </c>
      <c r="I752" s="84" t="str">
        <f t="shared" si="41"/>
        <v/>
      </c>
      <c r="J752" s="84">
        <f t="shared" si="42"/>
        <v>0</v>
      </c>
    </row>
    <row r="753" spans="6:10" ht="15">
      <c r="F753" s="74">
        <f t="shared" si="40"/>
        <v>0</v>
      </c>
      <c r="I753" s="84" t="str">
        <f t="shared" si="41"/>
        <v/>
      </c>
      <c r="J753" s="84">
        <f t="shared" si="42"/>
        <v>0</v>
      </c>
    </row>
    <row r="754" spans="6:10" ht="15">
      <c r="F754" s="74">
        <f t="shared" si="40"/>
        <v>0</v>
      </c>
      <c r="I754" s="84" t="str">
        <f t="shared" si="41"/>
        <v/>
      </c>
      <c r="J754" s="84">
        <f t="shared" si="42"/>
        <v>0</v>
      </c>
    </row>
    <row r="755" spans="6:10" ht="15">
      <c r="F755" s="74">
        <f t="shared" si="40"/>
        <v>0</v>
      </c>
      <c r="I755" s="84" t="str">
        <f t="shared" si="41"/>
        <v/>
      </c>
      <c r="J755" s="84">
        <f t="shared" si="42"/>
        <v>0</v>
      </c>
    </row>
    <row r="756" spans="6:10" ht="15">
      <c r="F756" s="74">
        <f t="shared" si="40"/>
        <v>0</v>
      </c>
      <c r="I756" s="84" t="str">
        <f t="shared" si="41"/>
        <v/>
      </c>
      <c r="J756" s="84">
        <f t="shared" si="42"/>
        <v>0</v>
      </c>
    </row>
    <row r="757" spans="6:10" ht="15">
      <c r="F757" s="74">
        <f t="shared" si="40"/>
        <v>0</v>
      </c>
      <c r="I757" s="84" t="str">
        <f t="shared" si="41"/>
        <v/>
      </c>
      <c r="J757" s="84">
        <f t="shared" si="42"/>
        <v>0</v>
      </c>
    </row>
    <row r="758" spans="6:10" ht="15">
      <c r="F758" s="74">
        <f t="shared" si="40"/>
        <v>0</v>
      </c>
      <c r="I758" s="84" t="str">
        <f t="shared" si="41"/>
        <v/>
      </c>
      <c r="J758" s="84">
        <f t="shared" si="42"/>
        <v>0</v>
      </c>
    </row>
    <row r="759" spans="6:10" ht="15">
      <c r="F759" s="74">
        <f t="shared" si="40"/>
        <v>0</v>
      </c>
      <c r="I759" s="84" t="str">
        <f t="shared" si="41"/>
        <v/>
      </c>
      <c r="J759" s="84">
        <f t="shared" si="42"/>
        <v>0</v>
      </c>
    </row>
    <row r="760" spans="6:10" ht="15">
      <c r="F760" s="74">
        <f t="shared" si="40"/>
        <v>0</v>
      </c>
      <c r="I760" s="84" t="str">
        <f t="shared" si="41"/>
        <v/>
      </c>
      <c r="J760" s="84">
        <f t="shared" si="42"/>
        <v>0</v>
      </c>
    </row>
    <row r="761" spans="6:10" ht="15">
      <c r="F761" s="74">
        <f t="shared" si="40"/>
        <v>0</v>
      </c>
      <c r="I761" s="84" t="str">
        <f t="shared" si="41"/>
        <v/>
      </c>
      <c r="J761" s="84">
        <f t="shared" si="42"/>
        <v>0</v>
      </c>
    </row>
    <row r="762" spans="6:10" ht="15">
      <c r="F762" s="74">
        <f t="shared" si="40"/>
        <v>0</v>
      </c>
      <c r="I762" s="84" t="str">
        <f t="shared" si="41"/>
        <v/>
      </c>
      <c r="J762" s="84">
        <f t="shared" si="42"/>
        <v>0</v>
      </c>
    </row>
    <row r="763" spans="6:10" ht="15">
      <c r="F763" s="74">
        <f t="shared" si="40"/>
        <v>0</v>
      </c>
      <c r="I763" s="84" t="str">
        <f t="shared" si="41"/>
        <v/>
      </c>
      <c r="J763" s="84">
        <f t="shared" si="42"/>
        <v>0</v>
      </c>
    </row>
    <row r="764" spans="6:10" ht="15">
      <c r="F764" s="74">
        <f t="shared" si="40"/>
        <v>0</v>
      </c>
      <c r="I764" s="84" t="str">
        <f t="shared" si="41"/>
        <v/>
      </c>
      <c r="J764" s="84">
        <f t="shared" si="42"/>
        <v>0</v>
      </c>
    </row>
    <row r="765" spans="6:10" ht="15">
      <c r="F765" s="74">
        <f t="shared" si="40"/>
        <v>0</v>
      </c>
      <c r="I765" s="84" t="str">
        <f t="shared" si="41"/>
        <v/>
      </c>
      <c r="J765" s="84">
        <f t="shared" si="42"/>
        <v>0</v>
      </c>
    </row>
    <row r="766" spans="6:10" ht="15">
      <c r="F766" s="74">
        <f t="shared" si="40"/>
        <v>0</v>
      </c>
      <c r="I766" s="84" t="str">
        <f t="shared" si="41"/>
        <v/>
      </c>
      <c r="J766" s="84">
        <f t="shared" si="42"/>
        <v>0</v>
      </c>
    </row>
    <row r="767" spans="6:10" ht="15">
      <c r="F767" s="74">
        <f t="shared" si="40"/>
        <v>0</v>
      </c>
      <c r="I767" s="84" t="str">
        <f t="shared" si="41"/>
        <v/>
      </c>
      <c r="J767" s="84">
        <f t="shared" si="42"/>
        <v>0</v>
      </c>
    </row>
    <row r="768" spans="6:10" ht="15">
      <c r="F768" s="74">
        <f t="shared" si="40"/>
        <v>0</v>
      </c>
      <c r="I768" s="84" t="str">
        <f t="shared" si="41"/>
        <v/>
      </c>
      <c r="J768" s="84">
        <f t="shared" si="42"/>
        <v>0</v>
      </c>
    </row>
    <row r="769" spans="6:10" ht="15">
      <c r="F769" s="74">
        <f t="shared" si="40"/>
        <v>0</v>
      </c>
      <c r="I769" s="84" t="str">
        <f t="shared" si="41"/>
        <v/>
      </c>
      <c r="J769" s="84">
        <f t="shared" si="42"/>
        <v>0</v>
      </c>
    </row>
    <row r="770" spans="6:10" ht="15">
      <c r="F770" s="74">
        <f t="shared" si="40"/>
        <v>0</v>
      </c>
      <c r="I770" s="84" t="str">
        <f t="shared" si="41"/>
        <v/>
      </c>
      <c r="J770" s="84">
        <f t="shared" si="42"/>
        <v>0</v>
      </c>
    </row>
    <row r="771" spans="6:10" ht="15">
      <c r="F771" s="74">
        <f t="shared" si="40"/>
        <v>0</v>
      </c>
      <c r="I771" s="84" t="str">
        <f t="shared" si="41"/>
        <v/>
      </c>
      <c r="J771" s="84">
        <f t="shared" si="42"/>
        <v>0</v>
      </c>
    </row>
    <row r="772" spans="6:10" ht="15">
      <c r="F772" s="74">
        <f t="shared" si="40"/>
        <v>0</v>
      </c>
      <c r="I772" s="84" t="str">
        <f t="shared" si="41"/>
        <v/>
      </c>
      <c r="J772" s="84">
        <f t="shared" si="42"/>
        <v>0</v>
      </c>
    </row>
    <row r="773" spans="6:10" ht="15">
      <c r="F773" s="74">
        <f t="shared" si="40"/>
        <v>0</v>
      </c>
      <c r="I773" s="84" t="str">
        <f t="shared" si="41"/>
        <v/>
      </c>
      <c r="J773" s="84">
        <f t="shared" si="42"/>
        <v>0</v>
      </c>
    </row>
    <row r="774" spans="6:10" ht="15">
      <c r="F774" s="74">
        <f t="shared" si="40"/>
        <v>0</v>
      </c>
      <c r="I774" s="84" t="str">
        <f t="shared" si="41"/>
        <v/>
      </c>
      <c r="J774" s="84">
        <f t="shared" si="42"/>
        <v>0</v>
      </c>
    </row>
    <row r="775" spans="6:10" ht="15">
      <c r="F775" s="74">
        <f aca="true" t="shared" si="43" ref="F775:F838">D775</f>
        <v>0</v>
      </c>
      <c r="I775" s="84" t="str">
        <f t="shared" si="41"/>
        <v/>
      </c>
      <c r="J775" s="84">
        <f t="shared" si="42"/>
        <v>0</v>
      </c>
    </row>
    <row r="776" spans="6:10" ht="15">
      <c r="F776" s="74">
        <f t="shared" si="43"/>
        <v>0</v>
      </c>
      <c r="I776" s="84" t="str">
        <f t="shared" si="41"/>
        <v/>
      </c>
      <c r="J776" s="84">
        <f t="shared" si="42"/>
        <v>0</v>
      </c>
    </row>
    <row r="777" spans="6:10" ht="15">
      <c r="F777" s="74">
        <f t="shared" si="43"/>
        <v>0</v>
      </c>
      <c r="I777" s="84" t="str">
        <f t="shared" si="41"/>
        <v/>
      </c>
      <c r="J777" s="84">
        <f t="shared" si="42"/>
        <v>0</v>
      </c>
    </row>
    <row r="778" spans="6:10" ht="15">
      <c r="F778" s="74">
        <f t="shared" si="43"/>
        <v>0</v>
      </c>
      <c r="I778" s="84" t="str">
        <f t="shared" si="41"/>
        <v/>
      </c>
      <c r="J778" s="84">
        <f t="shared" si="42"/>
        <v>0</v>
      </c>
    </row>
    <row r="779" spans="6:10" ht="15">
      <c r="F779" s="74">
        <f t="shared" si="43"/>
        <v>0</v>
      </c>
      <c r="I779" s="84" t="str">
        <f t="shared" si="41"/>
        <v/>
      </c>
      <c r="J779" s="84">
        <f t="shared" si="42"/>
        <v>0</v>
      </c>
    </row>
    <row r="780" spans="6:10" ht="15">
      <c r="F780" s="74">
        <f t="shared" si="43"/>
        <v>0</v>
      </c>
      <c r="I780" s="84" t="str">
        <f t="shared" si="41"/>
        <v/>
      </c>
      <c r="J780" s="84">
        <f t="shared" si="42"/>
        <v>0</v>
      </c>
    </row>
    <row r="781" spans="6:10" ht="15">
      <c r="F781" s="74">
        <f t="shared" si="43"/>
        <v>0</v>
      </c>
      <c r="I781" s="84" t="str">
        <f t="shared" si="41"/>
        <v/>
      </c>
      <c r="J781" s="84">
        <f t="shared" si="42"/>
        <v>0</v>
      </c>
    </row>
    <row r="782" spans="6:10" ht="15">
      <c r="F782" s="74">
        <f t="shared" si="43"/>
        <v>0</v>
      </c>
      <c r="I782" s="84" t="str">
        <f t="shared" si="41"/>
        <v/>
      </c>
      <c r="J782" s="84">
        <f t="shared" si="42"/>
        <v>0</v>
      </c>
    </row>
    <row r="783" spans="6:10" ht="15">
      <c r="F783" s="74">
        <f t="shared" si="43"/>
        <v>0</v>
      </c>
      <c r="I783" s="84" t="str">
        <f t="shared" si="41"/>
        <v/>
      </c>
      <c r="J783" s="84">
        <f t="shared" si="42"/>
        <v>0</v>
      </c>
    </row>
    <row r="784" spans="6:10" ht="15">
      <c r="F784" s="74">
        <f t="shared" si="43"/>
        <v>0</v>
      </c>
      <c r="I784" s="84" t="str">
        <f t="shared" si="41"/>
        <v/>
      </c>
      <c r="J784" s="84">
        <f t="shared" si="42"/>
        <v>0</v>
      </c>
    </row>
    <row r="785" spans="6:10" ht="15">
      <c r="F785" s="74">
        <f t="shared" si="43"/>
        <v>0</v>
      </c>
      <c r="I785" s="84" t="str">
        <f t="shared" si="41"/>
        <v/>
      </c>
      <c r="J785" s="84">
        <f t="shared" si="42"/>
        <v>0</v>
      </c>
    </row>
    <row r="786" spans="6:10" ht="15">
      <c r="F786" s="74">
        <f t="shared" si="43"/>
        <v>0</v>
      </c>
      <c r="I786" s="84" t="str">
        <f t="shared" si="41"/>
        <v/>
      </c>
      <c r="J786" s="84">
        <f t="shared" si="42"/>
        <v>0</v>
      </c>
    </row>
    <row r="787" spans="6:10" ht="15">
      <c r="F787" s="74">
        <f t="shared" si="43"/>
        <v>0</v>
      </c>
      <c r="I787" s="84" t="str">
        <f t="shared" si="41"/>
        <v/>
      </c>
      <c r="J787" s="84">
        <f t="shared" si="42"/>
        <v>0</v>
      </c>
    </row>
    <row r="788" spans="6:10" ht="15">
      <c r="F788" s="74">
        <f t="shared" si="43"/>
        <v>0</v>
      </c>
      <c r="I788" s="84" t="str">
        <f t="shared" si="41"/>
        <v/>
      </c>
      <c r="J788" s="84">
        <f t="shared" si="42"/>
        <v>0</v>
      </c>
    </row>
    <row r="789" spans="6:10" ht="15">
      <c r="F789" s="74">
        <f t="shared" si="43"/>
        <v>0</v>
      </c>
      <c r="I789" s="84" t="str">
        <f t="shared" si="41"/>
        <v/>
      </c>
      <c r="J789" s="84">
        <f t="shared" si="42"/>
        <v>0</v>
      </c>
    </row>
    <row r="790" spans="6:10" ht="15">
      <c r="F790" s="74">
        <f t="shared" si="43"/>
        <v>0</v>
      </c>
      <c r="I790" s="84" t="str">
        <f t="shared" si="41"/>
        <v/>
      </c>
      <c r="J790" s="84">
        <f t="shared" si="42"/>
        <v>0</v>
      </c>
    </row>
    <row r="791" spans="6:10" ht="15">
      <c r="F791" s="74">
        <f t="shared" si="43"/>
        <v>0</v>
      </c>
      <c r="I791" s="84" t="str">
        <f t="shared" si="41"/>
        <v/>
      </c>
      <c r="J791" s="84">
        <f t="shared" si="42"/>
        <v>0</v>
      </c>
    </row>
    <row r="792" spans="6:10" ht="15">
      <c r="F792" s="74">
        <f t="shared" si="43"/>
        <v>0</v>
      </c>
      <c r="I792" s="84" t="str">
        <f t="shared" si="41"/>
        <v/>
      </c>
      <c r="J792" s="84">
        <f t="shared" si="42"/>
        <v>0</v>
      </c>
    </row>
    <row r="793" spans="6:10" ht="15">
      <c r="F793" s="74">
        <f t="shared" si="43"/>
        <v>0</v>
      </c>
      <c r="I793" s="84" t="str">
        <f aca="true" t="shared" si="44" ref="I793:I856">IF(C793&gt;0,1,"")</f>
        <v/>
      </c>
      <c r="J793" s="84">
        <f aca="true" t="shared" si="45" ref="J793:J856">_xlfn.IFERROR(IF(AND(SUM(E793:H793)&gt;1000,I793&gt;0),((ROUNDUP(SUM(E793:H793)/1000,0)-1)*I793),0),0)</f>
        <v>0</v>
      </c>
    </row>
    <row r="794" spans="6:10" ht="15">
      <c r="F794" s="74">
        <f t="shared" si="43"/>
        <v>0</v>
      </c>
      <c r="I794" s="84" t="str">
        <f t="shared" si="44"/>
        <v/>
      </c>
      <c r="J794" s="84">
        <f t="shared" si="45"/>
        <v>0</v>
      </c>
    </row>
    <row r="795" spans="6:10" ht="15">
      <c r="F795" s="74">
        <f t="shared" si="43"/>
        <v>0</v>
      </c>
      <c r="I795" s="84" t="str">
        <f t="shared" si="44"/>
        <v/>
      </c>
      <c r="J795" s="84">
        <f t="shared" si="45"/>
        <v>0</v>
      </c>
    </row>
    <row r="796" spans="6:10" ht="15">
      <c r="F796" s="74">
        <f t="shared" si="43"/>
        <v>0</v>
      </c>
      <c r="I796" s="84" t="str">
        <f t="shared" si="44"/>
        <v/>
      </c>
      <c r="J796" s="84">
        <f t="shared" si="45"/>
        <v>0</v>
      </c>
    </row>
    <row r="797" spans="6:10" ht="15">
      <c r="F797" s="74">
        <f t="shared" si="43"/>
        <v>0</v>
      </c>
      <c r="I797" s="84" t="str">
        <f t="shared" si="44"/>
        <v/>
      </c>
      <c r="J797" s="84">
        <f t="shared" si="45"/>
        <v>0</v>
      </c>
    </row>
    <row r="798" spans="6:10" ht="15">
      <c r="F798" s="74">
        <f t="shared" si="43"/>
        <v>0</v>
      </c>
      <c r="I798" s="84" t="str">
        <f t="shared" si="44"/>
        <v/>
      </c>
      <c r="J798" s="84">
        <f t="shared" si="45"/>
        <v>0</v>
      </c>
    </row>
    <row r="799" spans="6:10" ht="15">
      <c r="F799" s="74">
        <f t="shared" si="43"/>
        <v>0</v>
      </c>
      <c r="I799" s="84" t="str">
        <f t="shared" si="44"/>
        <v/>
      </c>
      <c r="J799" s="84">
        <f t="shared" si="45"/>
        <v>0</v>
      </c>
    </row>
    <row r="800" spans="6:10" ht="15">
      <c r="F800" s="74">
        <f t="shared" si="43"/>
        <v>0</v>
      </c>
      <c r="I800" s="84" t="str">
        <f t="shared" si="44"/>
        <v/>
      </c>
      <c r="J800" s="84">
        <f t="shared" si="45"/>
        <v>0</v>
      </c>
    </row>
    <row r="801" spans="6:10" ht="15">
      <c r="F801" s="74">
        <f t="shared" si="43"/>
        <v>0</v>
      </c>
      <c r="I801" s="84" t="str">
        <f t="shared" si="44"/>
        <v/>
      </c>
      <c r="J801" s="84">
        <f t="shared" si="45"/>
        <v>0</v>
      </c>
    </row>
    <row r="802" spans="6:10" ht="15">
      <c r="F802" s="74">
        <f t="shared" si="43"/>
        <v>0</v>
      </c>
      <c r="I802" s="84" t="str">
        <f t="shared" si="44"/>
        <v/>
      </c>
      <c r="J802" s="84">
        <f t="shared" si="45"/>
        <v>0</v>
      </c>
    </row>
    <row r="803" spans="6:10" ht="15">
      <c r="F803" s="74">
        <f t="shared" si="43"/>
        <v>0</v>
      </c>
      <c r="I803" s="84" t="str">
        <f t="shared" si="44"/>
        <v/>
      </c>
      <c r="J803" s="84">
        <f t="shared" si="45"/>
        <v>0</v>
      </c>
    </row>
    <row r="804" spans="6:10" ht="15">
      <c r="F804" s="74">
        <f t="shared" si="43"/>
        <v>0</v>
      </c>
      <c r="I804" s="84" t="str">
        <f t="shared" si="44"/>
        <v/>
      </c>
      <c r="J804" s="84">
        <f t="shared" si="45"/>
        <v>0</v>
      </c>
    </row>
    <row r="805" spans="6:10" ht="15">
      <c r="F805" s="74">
        <f t="shared" si="43"/>
        <v>0</v>
      </c>
      <c r="I805" s="84" t="str">
        <f t="shared" si="44"/>
        <v/>
      </c>
      <c r="J805" s="84">
        <f t="shared" si="45"/>
        <v>0</v>
      </c>
    </row>
    <row r="806" spans="6:10" ht="15">
      <c r="F806" s="74">
        <f t="shared" si="43"/>
        <v>0</v>
      </c>
      <c r="I806" s="84" t="str">
        <f t="shared" si="44"/>
        <v/>
      </c>
      <c r="J806" s="84">
        <f t="shared" si="45"/>
        <v>0</v>
      </c>
    </row>
    <row r="807" spans="6:10" ht="15">
      <c r="F807" s="74">
        <f t="shared" si="43"/>
        <v>0</v>
      </c>
      <c r="I807" s="84" t="str">
        <f t="shared" si="44"/>
        <v/>
      </c>
      <c r="J807" s="84">
        <f t="shared" si="45"/>
        <v>0</v>
      </c>
    </row>
    <row r="808" spans="6:10" ht="15">
      <c r="F808" s="74">
        <f t="shared" si="43"/>
        <v>0</v>
      </c>
      <c r="I808" s="84" t="str">
        <f t="shared" si="44"/>
        <v/>
      </c>
      <c r="J808" s="84">
        <f t="shared" si="45"/>
        <v>0</v>
      </c>
    </row>
    <row r="809" spans="6:10" ht="15">
      <c r="F809" s="74">
        <f t="shared" si="43"/>
        <v>0</v>
      </c>
      <c r="I809" s="84" t="str">
        <f t="shared" si="44"/>
        <v/>
      </c>
      <c r="J809" s="84">
        <f t="shared" si="45"/>
        <v>0</v>
      </c>
    </row>
    <row r="810" spans="6:10" ht="15">
      <c r="F810" s="74">
        <f t="shared" si="43"/>
        <v>0</v>
      </c>
      <c r="I810" s="84" t="str">
        <f t="shared" si="44"/>
        <v/>
      </c>
      <c r="J810" s="84">
        <f t="shared" si="45"/>
        <v>0</v>
      </c>
    </row>
    <row r="811" spans="6:10" ht="15">
      <c r="F811" s="74">
        <f t="shared" si="43"/>
        <v>0</v>
      </c>
      <c r="I811" s="84" t="str">
        <f t="shared" si="44"/>
        <v/>
      </c>
      <c r="J811" s="84">
        <f t="shared" si="45"/>
        <v>0</v>
      </c>
    </row>
    <row r="812" spans="6:10" ht="15">
      <c r="F812" s="74">
        <f t="shared" si="43"/>
        <v>0</v>
      </c>
      <c r="I812" s="84" t="str">
        <f t="shared" si="44"/>
        <v/>
      </c>
      <c r="J812" s="84">
        <f t="shared" si="45"/>
        <v>0</v>
      </c>
    </row>
    <row r="813" spans="6:10" ht="15">
      <c r="F813" s="74">
        <f t="shared" si="43"/>
        <v>0</v>
      </c>
      <c r="I813" s="84" t="str">
        <f t="shared" si="44"/>
        <v/>
      </c>
      <c r="J813" s="84">
        <f t="shared" si="45"/>
        <v>0</v>
      </c>
    </row>
    <row r="814" spans="6:10" ht="15">
      <c r="F814" s="74">
        <f t="shared" si="43"/>
        <v>0</v>
      </c>
      <c r="I814" s="84" t="str">
        <f t="shared" si="44"/>
        <v/>
      </c>
      <c r="J814" s="84">
        <f t="shared" si="45"/>
        <v>0</v>
      </c>
    </row>
    <row r="815" spans="6:10" ht="15">
      <c r="F815" s="74">
        <f t="shared" si="43"/>
        <v>0</v>
      </c>
      <c r="I815" s="84" t="str">
        <f t="shared" si="44"/>
        <v/>
      </c>
      <c r="J815" s="84">
        <f t="shared" si="45"/>
        <v>0</v>
      </c>
    </row>
    <row r="816" spans="6:10" ht="15">
      <c r="F816" s="74">
        <f t="shared" si="43"/>
        <v>0</v>
      </c>
      <c r="I816" s="84" t="str">
        <f t="shared" si="44"/>
        <v/>
      </c>
      <c r="J816" s="84">
        <f t="shared" si="45"/>
        <v>0</v>
      </c>
    </row>
    <row r="817" spans="6:10" ht="15">
      <c r="F817" s="74">
        <f t="shared" si="43"/>
        <v>0</v>
      </c>
      <c r="I817" s="84" t="str">
        <f t="shared" si="44"/>
        <v/>
      </c>
      <c r="J817" s="84">
        <f t="shared" si="45"/>
        <v>0</v>
      </c>
    </row>
    <row r="818" spans="6:10" ht="15">
      <c r="F818" s="74">
        <f t="shared" si="43"/>
        <v>0</v>
      </c>
      <c r="I818" s="84" t="str">
        <f t="shared" si="44"/>
        <v/>
      </c>
      <c r="J818" s="84">
        <f t="shared" si="45"/>
        <v>0</v>
      </c>
    </row>
    <row r="819" spans="6:10" ht="15">
      <c r="F819" s="74">
        <f t="shared" si="43"/>
        <v>0</v>
      </c>
      <c r="I819" s="84" t="str">
        <f t="shared" si="44"/>
        <v/>
      </c>
      <c r="J819" s="84">
        <f t="shared" si="45"/>
        <v>0</v>
      </c>
    </row>
    <row r="820" spans="6:10" ht="15">
      <c r="F820" s="74">
        <f t="shared" si="43"/>
        <v>0</v>
      </c>
      <c r="I820" s="84" t="str">
        <f t="shared" si="44"/>
        <v/>
      </c>
      <c r="J820" s="84">
        <f t="shared" si="45"/>
        <v>0</v>
      </c>
    </row>
    <row r="821" spans="6:10" ht="15">
      <c r="F821" s="74">
        <f t="shared" si="43"/>
        <v>0</v>
      </c>
      <c r="I821" s="84" t="str">
        <f t="shared" si="44"/>
        <v/>
      </c>
      <c r="J821" s="84">
        <f t="shared" si="45"/>
        <v>0</v>
      </c>
    </row>
    <row r="822" spans="6:10" ht="15">
      <c r="F822" s="74">
        <f t="shared" si="43"/>
        <v>0</v>
      </c>
      <c r="I822" s="84" t="str">
        <f t="shared" si="44"/>
        <v/>
      </c>
      <c r="J822" s="84">
        <f t="shared" si="45"/>
        <v>0</v>
      </c>
    </row>
    <row r="823" spans="6:10" ht="15">
      <c r="F823" s="74">
        <f t="shared" si="43"/>
        <v>0</v>
      </c>
      <c r="I823" s="84" t="str">
        <f t="shared" si="44"/>
        <v/>
      </c>
      <c r="J823" s="84">
        <f t="shared" si="45"/>
        <v>0</v>
      </c>
    </row>
    <row r="824" spans="6:10" ht="15">
      <c r="F824" s="74">
        <f t="shared" si="43"/>
        <v>0</v>
      </c>
      <c r="I824" s="84" t="str">
        <f t="shared" si="44"/>
        <v/>
      </c>
      <c r="J824" s="84">
        <f t="shared" si="45"/>
        <v>0</v>
      </c>
    </row>
    <row r="825" spans="6:10" ht="15">
      <c r="F825" s="74">
        <f t="shared" si="43"/>
        <v>0</v>
      </c>
      <c r="I825" s="84" t="str">
        <f t="shared" si="44"/>
        <v/>
      </c>
      <c r="J825" s="84">
        <f t="shared" si="45"/>
        <v>0</v>
      </c>
    </row>
    <row r="826" spans="6:10" ht="15">
      <c r="F826" s="74">
        <f t="shared" si="43"/>
        <v>0</v>
      </c>
      <c r="I826" s="84" t="str">
        <f t="shared" si="44"/>
        <v/>
      </c>
      <c r="J826" s="84">
        <f t="shared" si="45"/>
        <v>0</v>
      </c>
    </row>
    <row r="827" spans="6:10" ht="15">
      <c r="F827" s="74">
        <f t="shared" si="43"/>
        <v>0</v>
      </c>
      <c r="I827" s="84" t="str">
        <f t="shared" si="44"/>
        <v/>
      </c>
      <c r="J827" s="84">
        <f t="shared" si="45"/>
        <v>0</v>
      </c>
    </row>
    <row r="828" spans="6:10" ht="15">
      <c r="F828" s="74">
        <f t="shared" si="43"/>
        <v>0</v>
      </c>
      <c r="I828" s="84" t="str">
        <f t="shared" si="44"/>
        <v/>
      </c>
      <c r="J828" s="84">
        <f t="shared" si="45"/>
        <v>0</v>
      </c>
    </row>
    <row r="829" spans="6:10" ht="15">
      <c r="F829" s="74">
        <f t="shared" si="43"/>
        <v>0</v>
      </c>
      <c r="I829" s="84" t="str">
        <f t="shared" si="44"/>
        <v/>
      </c>
      <c r="J829" s="84">
        <f t="shared" si="45"/>
        <v>0</v>
      </c>
    </row>
    <row r="830" spans="6:10" ht="15">
      <c r="F830" s="74">
        <f t="shared" si="43"/>
        <v>0</v>
      </c>
      <c r="I830" s="84" t="str">
        <f t="shared" si="44"/>
        <v/>
      </c>
      <c r="J830" s="84">
        <f t="shared" si="45"/>
        <v>0</v>
      </c>
    </row>
    <row r="831" spans="6:10" ht="15">
      <c r="F831" s="74">
        <f t="shared" si="43"/>
        <v>0</v>
      </c>
      <c r="I831" s="84" t="str">
        <f t="shared" si="44"/>
        <v/>
      </c>
      <c r="J831" s="84">
        <f t="shared" si="45"/>
        <v>0</v>
      </c>
    </row>
    <row r="832" spans="6:10" ht="15">
      <c r="F832" s="74">
        <f t="shared" si="43"/>
        <v>0</v>
      </c>
      <c r="I832" s="84" t="str">
        <f t="shared" si="44"/>
        <v/>
      </c>
      <c r="J832" s="84">
        <f t="shared" si="45"/>
        <v>0</v>
      </c>
    </row>
    <row r="833" spans="6:10" ht="15">
      <c r="F833" s="74">
        <f t="shared" si="43"/>
        <v>0</v>
      </c>
      <c r="I833" s="84" t="str">
        <f t="shared" si="44"/>
        <v/>
      </c>
      <c r="J833" s="84">
        <f t="shared" si="45"/>
        <v>0</v>
      </c>
    </row>
    <row r="834" spans="6:10" ht="15">
      <c r="F834" s="74">
        <f t="shared" si="43"/>
        <v>0</v>
      </c>
      <c r="I834" s="84" t="str">
        <f t="shared" si="44"/>
        <v/>
      </c>
      <c r="J834" s="84">
        <f t="shared" si="45"/>
        <v>0</v>
      </c>
    </row>
    <row r="835" spans="6:10" ht="15">
      <c r="F835" s="74">
        <f t="shared" si="43"/>
        <v>0</v>
      </c>
      <c r="I835" s="84" t="str">
        <f t="shared" si="44"/>
        <v/>
      </c>
      <c r="J835" s="84">
        <f t="shared" si="45"/>
        <v>0</v>
      </c>
    </row>
    <row r="836" spans="6:10" ht="15">
      <c r="F836" s="74">
        <f t="shared" si="43"/>
        <v>0</v>
      </c>
      <c r="I836" s="84" t="str">
        <f t="shared" si="44"/>
        <v/>
      </c>
      <c r="J836" s="84">
        <f t="shared" si="45"/>
        <v>0</v>
      </c>
    </row>
    <row r="837" spans="6:10" ht="15">
      <c r="F837" s="74">
        <f t="shared" si="43"/>
        <v>0</v>
      </c>
      <c r="I837" s="84" t="str">
        <f t="shared" si="44"/>
        <v/>
      </c>
      <c r="J837" s="84">
        <f t="shared" si="45"/>
        <v>0</v>
      </c>
    </row>
    <row r="838" spans="6:10" ht="15">
      <c r="F838" s="74">
        <f t="shared" si="43"/>
        <v>0</v>
      </c>
      <c r="I838" s="84" t="str">
        <f t="shared" si="44"/>
        <v/>
      </c>
      <c r="J838" s="84">
        <f t="shared" si="45"/>
        <v>0</v>
      </c>
    </row>
    <row r="839" spans="6:10" ht="15">
      <c r="F839" s="74">
        <f aca="true" t="shared" si="46" ref="F839:F902">D839</f>
        <v>0</v>
      </c>
      <c r="I839" s="84" t="str">
        <f t="shared" si="44"/>
        <v/>
      </c>
      <c r="J839" s="84">
        <f t="shared" si="45"/>
        <v>0</v>
      </c>
    </row>
    <row r="840" spans="6:10" ht="15">
      <c r="F840" s="74">
        <f t="shared" si="46"/>
        <v>0</v>
      </c>
      <c r="I840" s="84" t="str">
        <f t="shared" si="44"/>
        <v/>
      </c>
      <c r="J840" s="84">
        <f t="shared" si="45"/>
        <v>0</v>
      </c>
    </row>
    <row r="841" spans="6:10" ht="15">
      <c r="F841" s="74">
        <f t="shared" si="46"/>
        <v>0</v>
      </c>
      <c r="I841" s="84" t="str">
        <f t="shared" si="44"/>
        <v/>
      </c>
      <c r="J841" s="84">
        <f t="shared" si="45"/>
        <v>0</v>
      </c>
    </row>
    <row r="842" spans="6:10" ht="15">
      <c r="F842" s="74">
        <f t="shared" si="46"/>
        <v>0</v>
      </c>
      <c r="I842" s="84" t="str">
        <f t="shared" si="44"/>
        <v/>
      </c>
      <c r="J842" s="84">
        <f t="shared" si="45"/>
        <v>0</v>
      </c>
    </row>
    <row r="843" spans="6:10" ht="15">
      <c r="F843" s="74">
        <f t="shared" si="46"/>
        <v>0</v>
      </c>
      <c r="I843" s="84" t="str">
        <f t="shared" si="44"/>
        <v/>
      </c>
      <c r="J843" s="84">
        <f t="shared" si="45"/>
        <v>0</v>
      </c>
    </row>
    <row r="844" spans="6:10" ht="15">
      <c r="F844" s="74">
        <f t="shared" si="46"/>
        <v>0</v>
      </c>
      <c r="I844" s="84" t="str">
        <f t="shared" si="44"/>
        <v/>
      </c>
      <c r="J844" s="84">
        <f t="shared" si="45"/>
        <v>0</v>
      </c>
    </row>
    <row r="845" spans="6:10" ht="15">
      <c r="F845" s="74">
        <f t="shared" si="46"/>
        <v>0</v>
      </c>
      <c r="I845" s="84" t="str">
        <f t="shared" si="44"/>
        <v/>
      </c>
      <c r="J845" s="84">
        <f t="shared" si="45"/>
        <v>0</v>
      </c>
    </row>
    <row r="846" spans="6:10" ht="15">
      <c r="F846" s="74">
        <f t="shared" si="46"/>
        <v>0</v>
      </c>
      <c r="I846" s="84" t="str">
        <f t="shared" si="44"/>
        <v/>
      </c>
      <c r="J846" s="84">
        <f t="shared" si="45"/>
        <v>0</v>
      </c>
    </row>
    <row r="847" spans="6:10" ht="15">
      <c r="F847" s="74">
        <f t="shared" si="46"/>
        <v>0</v>
      </c>
      <c r="I847" s="84" t="str">
        <f t="shared" si="44"/>
        <v/>
      </c>
      <c r="J847" s="84">
        <f t="shared" si="45"/>
        <v>0</v>
      </c>
    </row>
    <row r="848" spans="6:10" ht="15">
      <c r="F848" s="74">
        <f t="shared" si="46"/>
        <v>0</v>
      </c>
      <c r="I848" s="84" t="str">
        <f t="shared" si="44"/>
        <v/>
      </c>
      <c r="J848" s="84">
        <f t="shared" si="45"/>
        <v>0</v>
      </c>
    </row>
    <row r="849" spans="6:10" ht="15">
      <c r="F849" s="74">
        <f t="shared" si="46"/>
        <v>0</v>
      </c>
      <c r="I849" s="84" t="str">
        <f t="shared" si="44"/>
        <v/>
      </c>
      <c r="J849" s="84">
        <f t="shared" si="45"/>
        <v>0</v>
      </c>
    </row>
    <row r="850" spans="6:10" ht="15">
      <c r="F850" s="74">
        <f t="shared" si="46"/>
        <v>0</v>
      </c>
      <c r="I850" s="84" t="str">
        <f t="shared" si="44"/>
        <v/>
      </c>
      <c r="J850" s="84">
        <f t="shared" si="45"/>
        <v>0</v>
      </c>
    </row>
    <row r="851" spans="6:10" ht="15">
      <c r="F851" s="74">
        <f t="shared" si="46"/>
        <v>0</v>
      </c>
      <c r="I851" s="84" t="str">
        <f t="shared" si="44"/>
        <v/>
      </c>
      <c r="J851" s="84">
        <f t="shared" si="45"/>
        <v>0</v>
      </c>
    </row>
    <row r="852" spans="6:10" ht="15">
      <c r="F852" s="74">
        <f t="shared" si="46"/>
        <v>0</v>
      </c>
      <c r="I852" s="84" t="str">
        <f t="shared" si="44"/>
        <v/>
      </c>
      <c r="J852" s="84">
        <f t="shared" si="45"/>
        <v>0</v>
      </c>
    </row>
    <row r="853" spans="6:10" ht="15">
      <c r="F853" s="74">
        <f t="shared" si="46"/>
        <v>0</v>
      </c>
      <c r="I853" s="84" t="str">
        <f t="shared" si="44"/>
        <v/>
      </c>
      <c r="J853" s="84">
        <f t="shared" si="45"/>
        <v>0</v>
      </c>
    </row>
    <row r="854" spans="6:10" ht="15">
      <c r="F854" s="74">
        <f t="shared" si="46"/>
        <v>0</v>
      </c>
      <c r="I854" s="84" t="str">
        <f t="shared" si="44"/>
        <v/>
      </c>
      <c r="J854" s="84">
        <f t="shared" si="45"/>
        <v>0</v>
      </c>
    </row>
    <row r="855" spans="6:10" ht="15">
      <c r="F855" s="74">
        <f t="shared" si="46"/>
        <v>0</v>
      </c>
      <c r="I855" s="84" t="str">
        <f t="shared" si="44"/>
        <v/>
      </c>
      <c r="J855" s="84">
        <f t="shared" si="45"/>
        <v>0</v>
      </c>
    </row>
    <row r="856" spans="6:10" ht="15">
      <c r="F856" s="74">
        <f t="shared" si="46"/>
        <v>0</v>
      </c>
      <c r="I856" s="84" t="str">
        <f t="shared" si="44"/>
        <v/>
      </c>
      <c r="J856" s="84">
        <f t="shared" si="45"/>
        <v>0</v>
      </c>
    </row>
    <row r="857" spans="6:10" ht="15">
      <c r="F857" s="74">
        <f t="shared" si="46"/>
        <v>0</v>
      </c>
      <c r="I857" s="84" t="str">
        <f aca="true" t="shared" si="47" ref="I857:I920">IF(C857&gt;0,1,"")</f>
        <v/>
      </c>
      <c r="J857" s="84">
        <f aca="true" t="shared" si="48" ref="J857:J920">_xlfn.IFERROR(IF(AND(SUM(E857:H857)&gt;1000,I857&gt;0),((ROUNDUP(SUM(E857:H857)/1000,0)-1)*I857),0),0)</f>
        <v>0</v>
      </c>
    </row>
    <row r="858" spans="6:10" ht="15">
      <c r="F858" s="74">
        <f t="shared" si="46"/>
        <v>0</v>
      </c>
      <c r="I858" s="84" t="str">
        <f t="shared" si="47"/>
        <v/>
      </c>
      <c r="J858" s="84">
        <f t="shared" si="48"/>
        <v>0</v>
      </c>
    </row>
    <row r="859" spans="6:10" ht="15">
      <c r="F859" s="74">
        <f t="shared" si="46"/>
        <v>0</v>
      </c>
      <c r="I859" s="84" t="str">
        <f t="shared" si="47"/>
        <v/>
      </c>
      <c r="J859" s="84">
        <f t="shared" si="48"/>
        <v>0</v>
      </c>
    </row>
    <row r="860" spans="6:10" ht="15">
      <c r="F860" s="74">
        <f t="shared" si="46"/>
        <v>0</v>
      </c>
      <c r="I860" s="84" t="str">
        <f t="shared" si="47"/>
        <v/>
      </c>
      <c r="J860" s="84">
        <f t="shared" si="48"/>
        <v>0</v>
      </c>
    </row>
    <row r="861" spans="6:10" ht="15">
      <c r="F861" s="74">
        <f t="shared" si="46"/>
        <v>0</v>
      </c>
      <c r="I861" s="84" t="str">
        <f t="shared" si="47"/>
        <v/>
      </c>
      <c r="J861" s="84">
        <f t="shared" si="48"/>
        <v>0</v>
      </c>
    </row>
    <row r="862" spans="6:10" ht="15">
      <c r="F862" s="74">
        <f t="shared" si="46"/>
        <v>0</v>
      </c>
      <c r="I862" s="84" t="str">
        <f t="shared" si="47"/>
        <v/>
      </c>
      <c r="J862" s="84">
        <f t="shared" si="48"/>
        <v>0</v>
      </c>
    </row>
    <row r="863" spans="6:10" ht="15">
      <c r="F863" s="74">
        <f t="shared" si="46"/>
        <v>0</v>
      </c>
      <c r="I863" s="84" t="str">
        <f t="shared" si="47"/>
        <v/>
      </c>
      <c r="J863" s="84">
        <f t="shared" si="48"/>
        <v>0</v>
      </c>
    </row>
    <row r="864" spans="6:10" ht="15">
      <c r="F864" s="74">
        <f t="shared" si="46"/>
        <v>0</v>
      </c>
      <c r="I864" s="84" t="str">
        <f t="shared" si="47"/>
        <v/>
      </c>
      <c r="J864" s="84">
        <f t="shared" si="48"/>
        <v>0</v>
      </c>
    </row>
    <row r="865" spans="6:10" ht="15">
      <c r="F865" s="74">
        <f t="shared" si="46"/>
        <v>0</v>
      </c>
      <c r="I865" s="84" t="str">
        <f t="shared" si="47"/>
        <v/>
      </c>
      <c r="J865" s="84">
        <f t="shared" si="48"/>
        <v>0</v>
      </c>
    </row>
    <row r="866" spans="6:10" ht="15">
      <c r="F866" s="74">
        <f t="shared" si="46"/>
        <v>0</v>
      </c>
      <c r="I866" s="84" t="str">
        <f t="shared" si="47"/>
        <v/>
      </c>
      <c r="J866" s="84">
        <f t="shared" si="48"/>
        <v>0</v>
      </c>
    </row>
    <row r="867" spans="6:10" ht="15">
      <c r="F867" s="74">
        <f t="shared" si="46"/>
        <v>0</v>
      </c>
      <c r="I867" s="84" t="str">
        <f t="shared" si="47"/>
        <v/>
      </c>
      <c r="J867" s="84">
        <f t="shared" si="48"/>
        <v>0</v>
      </c>
    </row>
    <row r="868" spans="6:10" ht="15">
      <c r="F868" s="74">
        <f t="shared" si="46"/>
        <v>0</v>
      </c>
      <c r="I868" s="84" t="str">
        <f t="shared" si="47"/>
        <v/>
      </c>
      <c r="J868" s="84">
        <f t="shared" si="48"/>
        <v>0</v>
      </c>
    </row>
    <row r="869" spans="6:10" ht="15">
      <c r="F869" s="74">
        <f t="shared" si="46"/>
        <v>0</v>
      </c>
      <c r="I869" s="84" t="str">
        <f t="shared" si="47"/>
        <v/>
      </c>
      <c r="J869" s="84">
        <f t="shared" si="48"/>
        <v>0</v>
      </c>
    </row>
    <row r="870" spans="6:10" ht="15">
      <c r="F870" s="74">
        <f t="shared" si="46"/>
        <v>0</v>
      </c>
      <c r="I870" s="84" t="str">
        <f t="shared" si="47"/>
        <v/>
      </c>
      <c r="J870" s="84">
        <f t="shared" si="48"/>
        <v>0</v>
      </c>
    </row>
    <row r="871" spans="6:10" ht="15">
      <c r="F871" s="74">
        <f t="shared" si="46"/>
        <v>0</v>
      </c>
      <c r="I871" s="84" t="str">
        <f t="shared" si="47"/>
        <v/>
      </c>
      <c r="J871" s="84">
        <f t="shared" si="48"/>
        <v>0</v>
      </c>
    </row>
    <row r="872" spans="6:10" ht="15">
      <c r="F872" s="74">
        <f t="shared" si="46"/>
        <v>0</v>
      </c>
      <c r="I872" s="84" t="str">
        <f t="shared" si="47"/>
        <v/>
      </c>
      <c r="J872" s="84">
        <f t="shared" si="48"/>
        <v>0</v>
      </c>
    </row>
    <row r="873" spans="6:10" ht="15">
      <c r="F873" s="74">
        <f t="shared" si="46"/>
        <v>0</v>
      </c>
      <c r="I873" s="84" t="str">
        <f t="shared" si="47"/>
        <v/>
      </c>
      <c r="J873" s="84">
        <f t="shared" si="48"/>
        <v>0</v>
      </c>
    </row>
    <row r="874" spans="6:10" ht="15">
      <c r="F874" s="74">
        <f t="shared" si="46"/>
        <v>0</v>
      </c>
      <c r="I874" s="84" t="str">
        <f t="shared" si="47"/>
        <v/>
      </c>
      <c r="J874" s="84">
        <f t="shared" si="48"/>
        <v>0</v>
      </c>
    </row>
    <row r="875" spans="6:10" ht="15">
      <c r="F875" s="74">
        <f t="shared" si="46"/>
        <v>0</v>
      </c>
      <c r="I875" s="84" t="str">
        <f t="shared" si="47"/>
        <v/>
      </c>
      <c r="J875" s="84">
        <f t="shared" si="48"/>
        <v>0</v>
      </c>
    </row>
    <row r="876" spans="6:10" ht="15">
      <c r="F876" s="74">
        <f t="shared" si="46"/>
        <v>0</v>
      </c>
      <c r="I876" s="84" t="str">
        <f t="shared" si="47"/>
        <v/>
      </c>
      <c r="J876" s="84">
        <f t="shared" si="48"/>
        <v>0</v>
      </c>
    </row>
    <row r="877" spans="6:10" ht="15">
      <c r="F877" s="74">
        <f t="shared" si="46"/>
        <v>0</v>
      </c>
      <c r="I877" s="84" t="str">
        <f t="shared" si="47"/>
        <v/>
      </c>
      <c r="J877" s="84">
        <f t="shared" si="48"/>
        <v>0</v>
      </c>
    </row>
    <row r="878" spans="6:10" ht="15">
      <c r="F878" s="74">
        <f t="shared" si="46"/>
        <v>0</v>
      </c>
      <c r="I878" s="84" t="str">
        <f t="shared" si="47"/>
        <v/>
      </c>
      <c r="J878" s="84">
        <f t="shared" si="48"/>
        <v>0</v>
      </c>
    </row>
    <row r="879" spans="6:10" ht="15">
      <c r="F879" s="74">
        <f t="shared" si="46"/>
        <v>0</v>
      </c>
      <c r="I879" s="84" t="str">
        <f t="shared" si="47"/>
        <v/>
      </c>
      <c r="J879" s="84">
        <f t="shared" si="48"/>
        <v>0</v>
      </c>
    </row>
    <row r="880" spans="6:10" ht="15">
      <c r="F880" s="74">
        <f t="shared" si="46"/>
        <v>0</v>
      </c>
      <c r="I880" s="84" t="str">
        <f t="shared" si="47"/>
        <v/>
      </c>
      <c r="J880" s="84">
        <f t="shared" si="48"/>
        <v>0</v>
      </c>
    </row>
    <row r="881" spans="6:10" ht="15">
      <c r="F881" s="74">
        <f t="shared" si="46"/>
        <v>0</v>
      </c>
      <c r="I881" s="84" t="str">
        <f t="shared" si="47"/>
        <v/>
      </c>
      <c r="J881" s="84">
        <f t="shared" si="48"/>
        <v>0</v>
      </c>
    </row>
    <row r="882" spans="6:10" ht="15">
      <c r="F882" s="74">
        <f t="shared" si="46"/>
        <v>0</v>
      </c>
      <c r="I882" s="84" t="str">
        <f t="shared" si="47"/>
        <v/>
      </c>
      <c r="J882" s="84">
        <f t="shared" si="48"/>
        <v>0</v>
      </c>
    </row>
    <row r="883" spans="6:10" ht="15">
      <c r="F883" s="74">
        <f t="shared" si="46"/>
        <v>0</v>
      </c>
      <c r="I883" s="84" t="str">
        <f t="shared" si="47"/>
        <v/>
      </c>
      <c r="J883" s="84">
        <f t="shared" si="48"/>
        <v>0</v>
      </c>
    </row>
    <row r="884" spans="6:10" ht="15">
      <c r="F884" s="74">
        <f t="shared" si="46"/>
        <v>0</v>
      </c>
      <c r="I884" s="84" t="str">
        <f t="shared" si="47"/>
        <v/>
      </c>
      <c r="J884" s="84">
        <f t="shared" si="48"/>
        <v>0</v>
      </c>
    </row>
    <row r="885" spans="6:10" ht="15">
      <c r="F885" s="74">
        <f t="shared" si="46"/>
        <v>0</v>
      </c>
      <c r="I885" s="84" t="str">
        <f t="shared" si="47"/>
        <v/>
      </c>
      <c r="J885" s="84">
        <f t="shared" si="48"/>
        <v>0</v>
      </c>
    </row>
    <row r="886" spans="6:10" ht="15">
      <c r="F886" s="74">
        <f t="shared" si="46"/>
        <v>0</v>
      </c>
      <c r="I886" s="84" t="str">
        <f t="shared" si="47"/>
        <v/>
      </c>
      <c r="J886" s="84">
        <f t="shared" si="48"/>
        <v>0</v>
      </c>
    </row>
    <row r="887" spans="6:10" ht="15">
      <c r="F887" s="74">
        <f t="shared" si="46"/>
        <v>0</v>
      </c>
      <c r="I887" s="84" t="str">
        <f t="shared" si="47"/>
        <v/>
      </c>
      <c r="J887" s="84">
        <f t="shared" si="48"/>
        <v>0</v>
      </c>
    </row>
    <row r="888" spans="6:10" ht="15">
      <c r="F888" s="74">
        <f t="shared" si="46"/>
        <v>0</v>
      </c>
      <c r="I888" s="84" t="str">
        <f t="shared" si="47"/>
        <v/>
      </c>
      <c r="J888" s="84">
        <f t="shared" si="48"/>
        <v>0</v>
      </c>
    </row>
    <row r="889" spans="6:10" ht="15">
      <c r="F889" s="74">
        <f t="shared" si="46"/>
        <v>0</v>
      </c>
      <c r="I889" s="84" t="str">
        <f t="shared" si="47"/>
        <v/>
      </c>
      <c r="J889" s="84">
        <f t="shared" si="48"/>
        <v>0</v>
      </c>
    </row>
    <row r="890" spans="6:10" ht="15">
      <c r="F890" s="74">
        <f t="shared" si="46"/>
        <v>0</v>
      </c>
      <c r="I890" s="84" t="str">
        <f t="shared" si="47"/>
        <v/>
      </c>
      <c r="J890" s="84">
        <f t="shared" si="48"/>
        <v>0</v>
      </c>
    </row>
    <row r="891" spans="6:10" ht="15">
      <c r="F891" s="74">
        <f t="shared" si="46"/>
        <v>0</v>
      </c>
      <c r="I891" s="84" t="str">
        <f t="shared" si="47"/>
        <v/>
      </c>
      <c r="J891" s="84">
        <f t="shared" si="48"/>
        <v>0</v>
      </c>
    </row>
    <row r="892" spans="6:10" ht="15">
      <c r="F892" s="74">
        <f t="shared" si="46"/>
        <v>0</v>
      </c>
      <c r="I892" s="84" t="str">
        <f t="shared" si="47"/>
        <v/>
      </c>
      <c r="J892" s="84">
        <f t="shared" si="48"/>
        <v>0</v>
      </c>
    </row>
    <row r="893" spans="6:10" ht="15">
      <c r="F893" s="74">
        <f t="shared" si="46"/>
        <v>0</v>
      </c>
      <c r="I893" s="84" t="str">
        <f t="shared" si="47"/>
        <v/>
      </c>
      <c r="J893" s="84">
        <f t="shared" si="48"/>
        <v>0</v>
      </c>
    </row>
    <row r="894" spans="6:10" ht="15">
      <c r="F894" s="74">
        <f t="shared" si="46"/>
        <v>0</v>
      </c>
      <c r="I894" s="84" t="str">
        <f t="shared" si="47"/>
        <v/>
      </c>
      <c r="J894" s="84">
        <f t="shared" si="48"/>
        <v>0</v>
      </c>
    </row>
    <row r="895" spans="6:10" ht="15">
      <c r="F895" s="74">
        <f t="shared" si="46"/>
        <v>0</v>
      </c>
      <c r="I895" s="84" t="str">
        <f t="shared" si="47"/>
        <v/>
      </c>
      <c r="J895" s="84">
        <f t="shared" si="48"/>
        <v>0</v>
      </c>
    </row>
    <row r="896" spans="6:10" ht="15">
      <c r="F896" s="74">
        <f t="shared" si="46"/>
        <v>0</v>
      </c>
      <c r="I896" s="84" t="str">
        <f t="shared" si="47"/>
        <v/>
      </c>
      <c r="J896" s="84">
        <f t="shared" si="48"/>
        <v>0</v>
      </c>
    </row>
    <row r="897" spans="6:10" ht="15">
      <c r="F897" s="74">
        <f t="shared" si="46"/>
        <v>0</v>
      </c>
      <c r="I897" s="84" t="str">
        <f t="shared" si="47"/>
        <v/>
      </c>
      <c r="J897" s="84">
        <f t="shared" si="48"/>
        <v>0</v>
      </c>
    </row>
    <row r="898" spans="6:10" ht="15">
      <c r="F898" s="74">
        <f t="shared" si="46"/>
        <v>0</v>
      </c>
      <c r="I898" s="84" t="str">
        <f t="shared" si="47"/>
        <v/>
      </c>
      <c r="J898" s="84">
        <f t="shared" si="48"/>
        <v>0</v>
      </c>
    </row>
    <row r="899" spans="6:10" ht="15">
      <c r="F899" s="74">
        <f t="shared" si="46"/>
        <v>0</v>
      </c>
      <c r="I899" s="84" t="str">
        <f t="shared" si="47"/>
        <v/>
      </c>
      <c r="J899" s="84">
        <f t="shared" si="48"/>
        <v>0</v>
      </c>
    </row>
    <row r="900" spans="6:10" ht="15">
      <c r="F900" s="74">
        <f t="shared" si="46"/>
        <v>0</v>
      </c>
      <c r="I900" s="84" t="str">
        <f t="shared" si="47"/>
        <v/>
      </c>
      <c r="J900" s="84">
        <f t="shared" si="48"/>
        <v>0</v>
      </c>
    </row>
    <row r="901" spans="6:10" ht="15">
      <c r="F901" s="74">
        <f t="shared" si="46"/>
        <v>0</v>
      </c>
      <c r="I901" s="84" t="str">
        <f t="shared" si="47"/>
        <v/>
      </c>
      <c r="J901" s="84">
        <f t="shared" si="48"/>
        <v>0</v>
      </c>
    </row>
    <row r="902" spans="6:10" ht="15">
      <c r="F902" s="74">
        <f t="shared" si="46"/>
        <v>0</v>
      </c>
      <c r="I902" s="84" t="str">
        <f t="shared" si="47"/>
        <v/>
      </c>
      <c r="J902" s="84">
        <f t="shared" si="48"/>
        <v>0</v>
      </c>
    </row>
    <row r="903" spans="6:10" ht="15">
      <c r="F903" s="74">
        <f aca="true" t="shared" si="49" ref="F903:F966">D903</f>
        <v>0</v>
      </c>
      <c r="I903" s="84" t="str">
        <f t="shared" si="47"/>
        <v/>
      </c>
      <c r="J903" s="84">
        <f t="shared" si="48"/>
        <v>0</v>
      </c>
    </row>
    <row r="904" spans="6:10" ht="15">
      <c r="F904" s="74">
        <f t="shared" si="49"/>
        <v>0</v>
      </c>
      <c r="I904" s="84" t="str">
        <f t="shared" si="47"/>
        <v/>
      </c>
      <c r="J904" s="84">
        <f t="shared" si="48"/>
        <v>0</v>
      </c>
    </row>
    <row r="905" spans="6:10" ht="15">
      <c r="F905" s="74">
        <f t="shared" si="49"/>
        <v>0</v>
      </c>
      <c r="I905" s="84" t="str">
        <f t="shared" si="47"/>
        <v/>
      </c>
      <c r="J905" s="84">
        <f t="shared" si="48"/>
        <v>0</v>
      </c>
    </row>
    <row r="906" spans="6:10" ht="15">
      <c r="F906" s="74">
        <f t="shared" si="49"/>
        <v>0</v>
      </c>
      <c r="I906" s="84" t="str">
        <f t="shared" si="47"/>
        <v/>
      </c>
      <c r="J906" s="84">
        <f t="shared" si="48"/>
        <v>0</v>
      </c>
    </row>
    <row r="907" spans="6:10" ht="15">
      <c r="F907" s="74">
        <f t="shared" si="49"/>
        <v>0</v>
      </c>
      <c r="I907" s="84" t="str">
        <f t="shared" si="47"/>
        <v/>
      </c>
      <c r="J907" s="84">
        <f t="shared" si="48"/>
        <v>0</v>
      </c>
    </row>
    <row r="908" spans="6:10" ht="15">
      <c r="F908" s="74">
        <f t="shared" si="49"/>
        <v>0</v>
      </c>
      <c r="I908" s="84" t="str">
        <f t="shared" si="47"/>
        <v/>
      </c>
      <c r="J908" s="84">
        <f t="shared" si="48"/>
        <v>0</v>
      </c>
    </row>
    <row r="909" spans="6:10" ht="15">
      <c r="F909" s="74">
        <f t="shared" si="49"/>
        <v>0</v>
      </c>
      <c r="I909" s="84" t="str">
        <f t="shared" si="47"/>
        <v/>
      </c>
      <c r="J909" s="84">
        <f t="shared" si="48"/>
        <v>0</v>
      </c>
    </row>
    <row r="910" spans="6:10" ht="15">
      <c r="F910" s="74">
        <f t="shared" si="49"/>
        <v>0</v>
      </c>
      <c r="I910" s="84" t="str">
        <f t="shared" si="47"/>
        <v/>
      </c>
      <c r="J910" s="84">
        <f t="shared" si="48"/>
        <v>0</v>
      </c>
    </row>
    <row r="911" spans="6:10" ht="15">
      <c r="F911" s="74">
        <f t="shared" si="49"/>
        <v>0</v>
      </c>
      <c r="I911" s="84" t="str">
        <f t="shared" si="47"/>
        <v/>
      </c>
      <c r="J911" s="84">
        <f t="shared" si="48"/>
        <v>0</v>
      </c>
    </row>
    <row r="912" spans="6:10" ht="15">
      <c r="F912" s="74">
        <f t="shared" si="49"/>
        <v>0</v>
      </c>
      <c r="I912" s="84" t="str">
        <f t="shared" si="47"/>
        <v/>
      </c>
      <c r="J912" s="84">
        <f t="shared" si="48"/>
        <v>0</v>
      </c>
    </row>
    <row r="913" spans="6:10" ht="15">
      <c r="F913" s="74">
        <f t="shared" si="49"/>
        <v>0</v>
      </c>
      <c r="I913" s="84" t="str">
        <f t="shared" si="47"/>
        <v/>
      </c>
      <c r="J913" s="84">
        <f t="shared" si="48"/>
        <v>0</v>
      </c>
    </row>
    <row r="914" spans="6:10" ht="15">
      <c r="F914" s="74">
        <f t="shared" si="49"/>
        <v>0</v>
      </c>
      <c r="I914" s="84" t="str">
        <f t="shared" si="47"/>
        <v/>
      </c>
      <c r="J914" s="84">
        <f t="shared" si="48"/>
        <v>0</v>
      </c>
    </row>
    <row r="915" spans="6:10" ht="15">
      <c r="F915" s="74">
        <f t="shared" si="49"/>
        <v>0</v>
      </c>
      <c r="I915" s="84" t="str">
        <f t="shared" si="47"/>
        <v/>
      </c>
      <c r="J915" s="84">
        <f t="shared" si="48"/>
        <v>0</v>
      </c>
    </row>
    <row r="916" spans="6:10" ht="15">
      <c r="F916" s="74">
        <f t="shared" si="49"/>
        <v>0</v>
      </c>
      <c r="I916" s="84" t="str">
        <f t="shared" si="47"/>
        <v/>
      </c>
      <c r="J916" s="84">
        <f t="shared" si="48"/>
        <v>0</v>
      </c>
    </row>
    <row r="917" spans="6:10" ht="15">
      <c r="F917" s="74">
        <f t="shared" si="49"/>
        <v>0</v>
      </c>
      <c r="I917" s="84" t="str">
        <f t="shared" si="47"/>
        <v/>
      </c>
      <c r="J917" s="84">
        <f t="shared" si="48"/>
        <v>0</v>
      </c>
    </row>
    <row r="918" spans="6:10" ht="15">
      <c r="F918" s="74">
        <f t="shared" si="49"/>
        <v>0</v>
      </c>
      <c r="I918" s="84" t="str">
        <f t="shared" si="47"/>
        <v/>
      </c>
      <c r="J918" s="84">
        <f t="shared" si="48"/>
        <v>0</v>
      </c>
    </row>
    <row r="919" spans="6:10" ht="15">
      <c r="F919" s="74">
        <f t="shared" si="49"/>
        <v>0</v>
      </c>
      <c r="I919" s="84" t="str">
        <f t="shared" si="47"/>
        <v/>
      </c>
      <c r="J919" s="84">
        <f t="shared" si="48"/>
        <v>0</v>
      </c>
    </row>
    <row r="920" spans="6:10" ht="15">
      <c r="F920" s="74">
        <f t="shared" si="49"/>
        <v>0</v>
      </c>
      <c r="I920" s="84" t="str">
        <f t="shared" si="47"/>
        <v/>
      </c>
      <c r="J920" s="84">
        <f t="shared" si="48"/>
        <v>0</v>
      </c>
    </row>
    <row r="921" spans="6:10" ht="15">
      <c r="F921" s="74">
        <f t="shared" si="49"/>
        <v>0</v>
      </c>
      <c r="I921" s="84" t="str">
        <f aca="true" t="shared" si="50" ref="I921:I984">IF(C921&gt;0,1,"")</f>
        <v/>
      </c>
      <c r="J921" s="84">
        <f aca="true" t="shared" si="51" ref="J921:J984">_xlfn.IFERROR(IF(AND(SUM(E921:H921)&gt;1000,I921&gt;0),((ROUNDUP(SUM(E921:H921)/1000,0)-1)*I921),0),0)</f>
        <v>0</v>
      </c>
    </row>
    <row r="922" spans="6:10" ht="15">
      <c r="F922" s="74">
        <f t="shared" si="49"/>
        <v>0</v>
      </c>
      <c r="I922" s="84" t="str">
        <f t="shared" si="50"/>
        <v/>
      </c>
      <c r="J922" s="84">
        <f t="shared" si="51"/>
        <v>0</v>
      </c>
    </row>
    <row r="923" spans="6:10" ht="15">
      <c r="F923" s="74">
        <f t="shared" si="49"/>
        <v>0</v>
      </c>
      <c r="I923" s="84" t="str">
        <f t="shared" si="50"/>
        <v/>
      </c>
      <c r="J923" s="84">
        <f t="shared" si="51"/>
        <v>0</v>
      </c>
    </row>
    <row r="924" spans="6:10" ht="15">
      <c r="F924" s="74">
        <f t="shared" si="49"/>
        <v>0</v>
      </c>
      <c r="I924" s="84" t="str">
        <f t="shared" si="50"/>
        <v/>
      </c>
      <c r="J924" s="84">
        <f t="shared" si="51"/>
        <v>0</v>
      </c>
    </row>
    <row r="925" spans="6:10" ht="15">
      <c r="F925" s="74">
        <f t="shared" si="49"/>
        <v>0</v>
      </c>
      <c r="I925" s="84" t="str">
        <f t="shared" si="50"/>
        <v/>
      </c>
      <c r="J925" s="84">
        <f t="shared" si="51"/>
        <v>0</v>
      </c>
    </row>
    <row r="926" spans="6:10" ht="15">
      <c r="F926" s="74">
        <f t="shared" si="49"/>
        <v>0</v>
      </c>
      <c r="I926" s="84" t="str">
        <f t="shared" si="50"/>
        <v/>
      </c>
      <c r="J926" s="84">
        <f t="shared" si="51"/>
        <v>0</v>
      </c>
    </row>
    <row r="927" spans="6:10" ht="15">
      <c r="F927" s="74">
        <f t="shared" si="49"/>
        <v>0</v>
      </c>
      <c r="I927" s="84" t="str">
        <f t="shared" si="50"/>
        <v/>
      </c>
      <c r="J927" s="84">
        <f t="shared" si="51"/>
        <v>0</v>
      </c>
    </row>
    <row r="928" spans="6:10" ht="15">
      <c r="F928" s="74">
        <f t="shared" si="49"/>
        <v>0</v>
      </c>
      <c r="I928" s="84" t="str">
        <f t="shared" si="50"/>
        <v/>
      </c>
      <c r="J928" s="84">
        <f t="shared" si="51"/>
        <v>0</v>
      </c>
    </row>
    <row r="929" spans="6:10" ht="15">
      <c r="F929" s="74">
        <f t="shared" si="49"/>
        <v>0</v>
      </c>
      <c r="I929" s="84" t="str">
        <f t="shared" si="50"/>
        <v/>
      </c>
      <c r="J929" s="84">
        <f t="shared" si="51"/>
        <v>0</v>
      </c>
    </row>
    <row r="930" spans="6:10" ht="15">
      <c r="F930" s="74">
        <f t="shared" si="49"/>
        <v>0</v>
      </c>
      <c r="I930" s="84" t="str">
        <f t="shared" si="50"/>
        <v/>
      </c>
      <c r="J930" s="84">
        <f t="shared" si="51"/>
        <v>0</v>
      </c>
    </row>
    <row r="931" spans="6:10" ht="15">
      <c r="F931" s="74">
        <f t="shared" si="49"/>
        <v>0</v>
      </c>
      <c r="I931" s="84" t="str">
        <f t="shared" si="50"/>
        <v/>
      </c>
      <c r="J931" s="84">
        <f t="shared" si="51"/>
        <v>0</v>
      </c>
    </row>
    <row r="932" spans="6:10" ht="15">
      <c r="F932" s="74">
        <f t="shared" si="49"/>
        <v>0</v>
      </c>
      <c r="I932" s="84" t="str">
        <f t="shared" si="50"/>
        <v/>
      </c>
      <c r="J932" s="84">
        <f t="shared" si="51"/>
        <v>0</v>
      </c>
    </row>
    <row r="933" spans="6:10" ht="15">
      <c r="F933" s="74">
        <f t="shared" si="49"/>
        <v>0</v>
      </c>
      <c r="I933" s="84" t="str">
        <f t="shared" si="50"/>
        <v/>
      </c>
      <c r="J933" s="84">
        <f t="shared" si="51"/>
        <v>0</v>
      </c>
    </row>
    <row r="934" spans="6:10" ht="15">
      <c r="F934" s="74">
        <f t="shared" si="49"/>
        <v>0</v>
      </c>
      <c r="I934" s="84" t="str">
        <f t="shared" si="50"/>
        <v/>
      </c>
      <c r="J934" s="84">
        <f t="shared" si="51"/>
        <v>0</v>
      </c>
    </row>
    <row r="935" spans="6:10" ht="15">
      <c r="F935" s="74">
        <f t="shared" si="49"/>
        <v>0</v>
      </c>
      <c r="I935" s="84" t="str">
        <f t="shared" si="50"/>
        <v/>
      </c>
      <c r="J935" s="84">
        <f t="shared" si="51"/>
        <v>0</v>
      </c>
    </row>
    <row r="936" spans="6:10" ht="15">
      <c r="F936" s="74">
        <f t="shared" si="49"/>
        <v>0</v>
      </c>
      <c r="I936" s="84" t="str">
        <f t="shared" si="50"/>
        <v/>
      </c>
      <c r="J936" s="84">
        <f t="shared" si="51"/>
        <v>0</v>
      </c>
    </row>
    <row r="937" spans="6:10" ht="15">
      <c r="F937" s="74">
        <f t="shared" si="49"/>
        <v>0</v>
      </c>
      <c r="I937" s="84" t="str">
        <f t="shared" si="50"/>
        <v/>
      </c>
      <c r="J937" s="84">
        <f t="shared" si="51"/>
        <v>0</v>
      </c>
    </row>
    <row r="938" spans="6:10" ht="15">
      <c r="F938" s="74">
        <f t="shared" si="49"/>
        <v>0</v>
      </c>
      <c r="I938" s="84" t="str">
        <f t="shared" si="50"/>
        <v/>
      </c>
      <c r="J938" s="84">
        <f t="shared" si="51"/>
        <v>0</v>
      </c>
    </row>
    <row r="939" spans="6:10" ht="15">
      <c r="F939" s="74">
        <f t="shared" si="49"/>
        <v>0</v>
      </c>
      <c r="I939" s="84" t="str">
        <f t="shared" si="50"/>
        <v/>
      </c>
      <c r="J939" s="84">
        <f t="shared" si="51"/>
        <v>0</v>
      </c>
    </row>
    <row r="940" spans="6:10" ht="15">
      <c r="F940" s="74">
        <f t="shared" si="49"/>
        <v>0</v>
      </c>
      <c r="I940" s="84" t="str">
        <f t="shared" si="50"/>
        <v/>
      </c>
      <c r="J940" s="84">
        <f t="shared" si="51"/>
        <v>0</v>
      </c>
    </row>
    <row r="941" spans="6:10" ht="15">
      <c r="F941" s="74">
        <f t="shared" si="49"/>
        <v>0</v>
      </c>
      <c r="I941" s="84" t="str">
        <f t="shared" si="50"/>
        <v/>
      </c>
      <c r="J941" s="84">
        <f t="shared" si="51"/>
        <v>0</v>
      </c>
    </row>
    <row r="942" spans="6:10" ht="15">
      <c r="F942" s="74">
        <f t="shared" si="49"/>
        <v>0</v>
      </c>
      <c r="I942" s="84" t="str">
        <f t="shared" si="50"/>
        <v/>
      </c>
      <c r="J942" s="84">
        <f t="shared" si="51"/>
        <v>0</v>
      </c>
    </row>
    <row r="943" spans="6:10" ht="15">
      <c r="F943" s="74">
        <f t="shared" si="49"/>
        <v>0</v>
      </c>
      <c r="I943" s="84" t="str">
        <f t="shared" si="50"/>
        <v/>
      </c>
      <c r="J943" s="84">
        <f t="shared" si="51"/>
        <v>0</v>
      </c>
    </row>
    <row r="944" spans="6:10" ht="15">
      <c r="F944" s="74">
        <f t="shared" si="49"/>
        <v>0</v>
      </c>
      <c r="I944" s="84" t="str">
        <f t="shared" si="50"/>
        <v/>
      </c>
      <c r="J944" s="84">
        <f t="shared" si="51"/>
        <v>0</v>
      </c>
    </row>
    <row r="945" spans="6:10" ht="15">
      <c r="F945" s="74">
        <f t="shared" si="49"/>
        <v>0</v>
      </c>
      <c r="I945" s="84" t="str">
        <f t="shared" si="50"/>
        <v/>
      </c>
      <c r="J945" s="84">
        <f t="shared" si="51"/>
        <v>0</v>
      </c>
    </row>
    <row r="946" spans="6:10" ht="15">
      <c r="F946" s="74">
        <f t="shared" si="49"/>
        <v>0</v>
      </c>
      <c r="I946" s="84" t="str">
        <f t="shared" si="50"/>
        <v/>
      </c>
      <c r="J946" s="84">
        <f t="shared" si="51"/>
        <v>0</v>
      </c>
    </row>
    <row r="947" spans="6:10" ht="15">
      <c r="F947" s="74">
        <f t="shared" si="49"/>
        <v>0</v>
      </c>
      <c r="I947" s="84" t="str">
        <f t="shared" si="50"/>
        <v/>
      </c>
      <c r="J947" s="84">
        <f t="shared" si="51"/>
        <v>0</v>
      </c>
    </row>
    <row r="948" spans="6:10" ht="15">
      <c r="F948" s="74">
        <f t="shared" si="49"/>
        <v>0</v>
      </c>
      <c r="I948" s="84" t="str">
        <f t="shared" si="50"/>
        <v/>
      </c>
      <c r="J948" s="84">
        <f t="shared" si="51"/>
        <v>0</v>
      </c>
    </row>
    <row r="949" spans="6:10" ht="15">
      <c r="F949" s="74">
        <f t="shared" si="49"/>
        <v>0</v>
      </c>
      <c r="I949" s="84" t="str">
        <f t="shared" si="50"/>
        <v/>
      </c>
      <c r="J949" s="84">
        <f t="shared" si="51"/>
        <v>0</v>
      </c>
    </row>
    <row r="950" spans="6:10" ht="15">
      <c r="F950" s="74">
        <f t="shared" si="49"/>
        <v>0</v>
      </c>
      <c r="I950" s="84" t="str">
        <f t="shared" si="50"/>
        <v/>
      </c>
      <c r="J950" s="84">
        <f t="shared" si="51"/>
        <v>0</v>
      </c>
    </row>
    <row r="951" spans="6:10" ht="15">
      <c r="F951" s="74">
        <f t="shared" si="49"/>
        <v>0</v>
      </c>
      <c r="I951" s="84" t="str">
        <f t="shared" si="50"/>
        <v/>
      </c>
      <c r="J951" s="84">
        <f t="shared" si="51"/>
        <v>0</v>
      </c>
    </row>
    <row r="952" spans="6:10" ht="15">
      <c r="F952" s="74">
        <f t="shared" si="49"/>
        <v>0</v>
      </c>
      <c r="I952" s="84" t="str">
        <f t="shared" si="50"/>
        <v/>
      </c>
      <c r="J952" s="84">
        <f t="shared" si="51"/>
        <v>0</v>
      </c>
    </row>
    <row r="953" spans="6:10" ht="15">
      <c r="F953" s="74">
        <f t="shared" si="49"/>
        <v>0</v>
      </c>
      <c r="I953" s="84" t="str">
        <f t="shared" si="50"/>
        <v/>
      </c>
      <c r="J953" s="84">
        <f t="shared" si="51"/>
        <v>0</v>
      </c>
    </row>
    <row r="954" spans="6:10" ht="15">
      <c r="F954" s="74">
        <f t="shared" si="49"/>
        <v>0</v>
      </c>
      <c r="I954" s="84" t="str">
        <f t="shared" si="50"/>
        <v/>
      </c>
      <c r="J954" s="84">
        <f t="shared" si="51"/>
        <v>0</v>
      </c>
    </row>
    <row r="955" spans="6:10" ht="15">
      <c r="F955" s="74">
        <f t="shared" si="49"/>
        <v>0</v>
      </c>
      <c r="I955" s="84" t="str">
        <f t="shared" si="50"/>
        <v/>
      </c>
      <c r="J955" s="84">
        <f t="shared" si="51"/>
        <v>0</v>
      </c>
    </row>
    <row r="956" spans="6:10" ht="15">
      <c r="F956" s="74">
        <f t="shared" si="49"/>
        <v>0</v>
      </c>
      <c r="I956" s="84" t="str">
        <f t="shared" si="50"/>
        <v/>
      </c>
      <c r="J956" s="84">
        <f t="shared" si="51"/>
        <v>0</v>
      </c>
    </row>
    <row r="957" spans="6:10" ht="15">
      <c r="F957" s="74">
        <f t="shared" si="49"/>
        <v>0</v>
      </c>
      <c r="I957" s="84" t="str">
        <f t="shared" si="50"/>
        <v/>
      </c>
      <c r="J957" s="84">
        <f t="shared" si="51"/>
        <v>0</v>
      </c>
    </row>
    <row r="958" spans="6:10" ht="15">
      <c r="F958" s="74">
        <f t="shared" si="49"/>
        <v>0</v>
      </c>
      <c r="I958" s="84" t="str">
        <f t="shared" si="50"/>
        <v/>
      </c>
      <c r="J958" s="84">
        <f t="shared" si="51"/>
        <v>0</v>
      </c>
    </row>
    <row r="959" spans="6:10" ht="15">
      <c r="F959" s="74">
        <f t="shared" si="49"/>
        <v>0</v>
      </c>
      <c r="I959" s="84" t="str">
        <f t="shared" si="50"/>
        <v/>
      </c>
      <c r="J959" s="84">
        <f t="shared" si="51"/>
        <v>0</v>
      </c>
    </row>
    <row r="960" spans="6:10" ht="15">
      <c r="F960" s="74">
        <f t="shared" si="49"/>
        <v>0</v>
      </c>
      <c r="I960" s="84" t="str">
        <f t="shared" si="50"/>
        <v/>
      </c>
      <c r="J960" s="84">
        <f t="shared" si="51"/>
        <v>0</v>
      </c>
    </row>
    <row r="961" spans="6:10" ht="15">
      <c r="F961" s="74">
        <f t="shared" si="49"/>
        <v>0</v>
      </c>
      <c r="I961" s="84" t="str">
        <f t="shared" si="50"/>
        <v/>
      </c>
      <c r="J961" s="84">
        <f t="shared" si="51"/>
        <v>0</v>
      </c>
    </row>
    <row r="962" spans="6:10" ht="15">
      <c r="F962" s="74">
        <f t="shared" si="49"/>
        <v>0</v>
      </c>
      <c r="I962" s="84" t="str">
        <f t="shared" si="50"/>
        <v/>
      </c>
      <c r="J962" s="84">
        <f t="shared" si="51"/>
        <v>0</v>
      </c>
    </row>
    <row r="963" spans="6:10" ht="15">
      <c r="F963" s="74">
        <f t="shared" si="49"/>
        <v>0</v>
      </c>
      <c r="I963" s="84" t="str">
        <f t="shared" si="50"/>
        <v/>
      </c>
      <c r="J963" s="84">
        <f t="shared" si="51"/>
        <v>0</v>
      </c>
    </row>
    <row r="964" spans="6:10" ht="15">
      <c r="F964" s="74">
        <f t="shared" si="49"/>
        <v>0</v>
      </c>
      <c r="I964" s="84" t="str">
        <f t="shared" si="50"/>
        <v/>
      </c>
      <c r="J964" s="84">
        <f t="shared" si="51"/>
        <v>0</v>
      </c>
    </row>
    <row r="965" spans="6:10" ht="15">
      <c r="F965" s="74">
        <f t="shared" si="49"/>
        <v>0</v>
      </c>
      <c r="I965" s="84" t="str">
        <f t="shared" si="50"/>
        <v/>
      </c>
      <c r="J965" s="84">
        <f t="shared" si="51"/>
        <v>0</v>
      </c>
    </row>
    <row r="966" spans="6:10" ht="15">
      <c r="F966" s="74">
        <f t="shared" si="49"/>
        <v>0</v>
      </c>
      <c r="I966" s="84" t="str">
        <f t="shared" si="50"/>
        <v/>
      </c>
      <c r="J966" s="84">
        <f t="shared" si="51"/>
        <v>0</v>
      </c>
    </row>
    <row r="967" spans="6:10" ht="15">
      <c r="F967" s="74">
        <f aca="true" t="shared" si="52" ref="F967:F1001">D967</f>
        <v>0</v>
      </c>
      <c r="I967" s="84" t="str">
        <f t="shared" si="50"/>
        <v/>
      </c>
      <c r="J967" s="84">
        <f t="shared" si="51"/>
        <v>0</v>
      </c>
    </row>
    <row r="968" spans="6:10" ht="15">
      <c r="F968" s="74">
        <f t="shared" si="52"/>
        <v>0</v>
      </c>
      <c r="I968" s="84" t="str">
        <f t="shared" si="50"/>
        <v/>
      </c>
      <c r="J968" s="84">
        <f t="shared" si="51"/>
        <v>0</v>
      </c>
    </row>
    <row r="969" spans="6:10" ht="15">
      <c r="F969" s="74">
        <f t="shared" si="52"/>
        <v>0</v>
      </c>
      <c r="I969" s="84" t="str">
        <f t="shared" si="50"/>
        <v/>
      </c>
      <c r="J969" s="84">
        <f t="shared" si="51"/>
        <v>0</v>
      </c>
    </row>
    <row r="970" spans="6:10" ht="15">
      <c r="F970" s="74">
        <f t="shared" si="52"/>
        <v>0</v>
      </c>
      <c r="I970" s="84" t="str">
        <f t="shared" si="50"/>
        <v/>
      </c>
      <c r="J970" s="84">
        <f t="shared" si="51"/>
        <v>0</v>
      </c>
    </row>
    <row r="971" spans="6:10" ht="15">
      <c r="F971" s="74">
        <f t="shared" si="52"/>
        <v>0</v>
      </c>
      <c r="I971" s="84" t="str">
        <f t="shared" si="50"/>
        <v/>
      </c>
      <c r="J971" s="84">
        <f t="shared" si="51"/>
        <v>0</v>
      </c>
    </row>
    <row r="972" spans="6:10" ht="15">
      <c r="F972" s="74">
        <f t="shared" si="52"/>
        <v>0</v>
      </c>
      <c r="I972" s="84" t="str">
        <f t="shared" si="50"/>
        <v/>
      </c>
      <c r="J972" s="84">
        <f t="shared" si="51"/>
        <v>0</v>
      </c>
    </row>
    <row r="973" spans="6:10" ht="15">
      <c r="F973" s="74">
        <f t="shared" si="52"/>
        <v>0</v>
      </c>
      <c r="I973" s="84" t="str">
        <f t="shared" si="50"/>
        <v/>
      </c>
      <c r="J973" s="84">
        <f t="shared" si="51"/>
        <v>0</v>
      </c>
    </row>
    <row r="974" spans="6:10" ht="15">
      <c r="F974" s="74">
        <f t="shared" si="52"/>
        <v>0</v>
      </c>
      <c r="I974" s="84" t="str">
        <f t="shared" si="50"/>
        <v/>
      </c>
      <c r="J974" s="84">
        <f t="shared" si="51"/>
        <v>0</v>
      </c>
    </row>
    <row r="975" spans="6:10" ht="15">
      <c r="F975" s="74">
        <f t="shared" si="52"/>
        <v>0</v>
      </c>
      <c r="I975" s="84" t="str">
        <f t="shared" si="50"/>
        <v/>
      </c>
      <c r="J975" s="84">
        <f t="shared" si="51"/>
        <v>0</v>
      </c>
    </row>
    <row r="976" spans="6:10" ht="15">
      <c r="F976" s="74">
        <f t="shared" si="52"/>
        <v>0</v>
      </c>
      <c r="I976" s="84" t="str">
        <f t="shared" si="50"/>
        <v/>
      </c>
      <c r="J976" s="84">
        <f t="shared" si="51"/>
        <v>0</v>
      </c>
    </row>
    <row r="977" spans="6:10" ht="15">
      <c r="F977" s="74">
        <f t="shared" si="52"/>
        <v>0</v>
      </c>
      <c r="I977" s="84" t="str">
        <f t="shared" si="50"/>
        <v/>
      </c>
      <c r="J977" s="84">
        <f t="shared" si="51"/>
        <v>0</v>
      </c>
    </row>
    <row r="978" spans="6:10" ht="15">
      <c r="F978" s="74">
        <f t="shared" si="52"/>
        <v>0</v>
      </c>
      <c r="I978" s="84" t="str">
        <f t="shared" si="50"/>
        <v/>
      </c>
      <c r="J978" s="84">
        <f t="shared" si="51"/>
        <v>0</v>
      </c>
    </row>
    <row r="979" spans="6:10" ht="15">
      <c r="F979" s="74">
        <f t="shared" si="52"/>
        <v>0</v>
      </c>
      <c r="I979" s="84" t="str">
        <f t="shared" si="50"/>
        <v/>
      </c>
      <c r="J979" s="84">
        <f t="shared" si="51"/>
        <v>0</v>
      </c>
    </row>
    <row r="980" spans="6:10" ht="15">
      <c r="F980" s="74">
        <f t="shared" si="52"/>
        <v>0</v>
      </c>
      <c r="I980" s="84" t="str">
        <f t="shared" si="50"/>
        <v/>
      </c>
      <c r="J980" s="84">
        <f t="shared" si="51"/>
        <v>0</v>
      </c>
    </row>
    <row r="981" spans="6:10" ht="15">
      <c r="F981" s="74">
        <f t="shared" si="52"/>
        <v>0</v>
      </c>
      <c r="I981" s="84" t="str">
        <f t="shared" si="50"/>
        <v/>
      </c>
      <c r="J981" s="84">
        <f t="shared" si="51"/>
        <v>0</v>
      </c>
    </row>
    <row r="982" spans="6:10" ht="15">
      <c r="F982" s="74">
        <f t="shared" si="52"/>
        <v>0</v>
      </c>
      <c r="I982" s="84" t="str">
        <f t="shared" si="50"/>
        <v/>
      </c>
      <c r="J982" s="84">
        <f t="shared" si="51"/>
        <v>0</v>
      </c>
    </row>
    <row r="983" spans="6:10" ht="15">
      <c r="F983" s="74">
        <f t="shared" si="52"/>
        <v>0</v>
      </c>
      <c r="I983" s="84" t="str">
        <f t="shared" si="50"/>
        <v/>
      </c>
      <c r="J983" s="84">
        <f t="shared" si="51"/>
        <v>0</v>
      </c>
    </row>
    <row r="984" spans="6:10" ht="15">
      <c r="F984" s="74">
        <f t="shared" si="52"/>
        <v>0</v>
      </c>
      <c r="I984" s="84" t="str">
        <f t="shared" si="50"/>
        <v/>
      </c>
      <c r="J984" s="84">
        <f t="shared" si="51"/>
        <v>0</v>
      </c>
    </row>
    <row r="985" spans="6:10" ht="15">
      <c r="F985" s="74">
        <f t="shared" si="52"/>
        <v>0</v>
      </c>
      <c r="I985" s="84" t="str">
        <f aca="true" t="shared" si="53" ref="I985:I1001">IF(C985&gt;0,1,"")</f>
        <v/>
      </c>
      <c r="J985" s="84">
        <f aca="true" t="shared" si="54" ref="J985:J1001">_xlfn.IFERROR(IF(AND(SUM(E985:H985)&gt;1000,I985&gt;0),((ROUNDUP(SUM(E985:H985)/1000,0)-1)*I985),0),0)</f>
        <v>0</v>
      </c>
    </row>
    <row r="986" spans="6:10" ht="15">
      <c r="F986" s="74">
        <f t="shared" si="52"/>
        <v>0</v>
      </c>
      <c r="I986" s="84" t="str">
        <f t="shared" si="53"/>
        <v/>
      </c>
      <c r="J986" s="84">
        <f t="shared" si="54"/>
        <v>0</v>
      </c>
    </row>
    <row r="987" spans="6:10" ht="15">
      <c r="F987" s="74">
        <f t="shared" si="52"/>
        <v>0</v>
      </c>
      <c r="I987" s="84" t="str">
        <f t="shared" si="53"/>
        <v/>
      </c>
      <c r="J987" s="84">
        <f t="shared" si="54"/>
        <v>0</v>
      </c>
    </row>
    <row r="988" spans="6:10" ht="15">
      <c r="F988" s="74">
        <f t="shared" si="52"/>
        <v>0</v>
      </c>
      <c r="I988" s="84" t="str">
        <f t="shared" si="53"/>
        <v/>
      </c>
      <c r="J988" s="84">
        <f t="shared" si="54"/>
        <v>0</v>
      </c>
    </row>
    <row r="989" spans="6:10" ht="15">
      <c r="F989" s="74">
        <f t="shared" si="52"/>
        <v>0</v>
      </c>
      <c r="I989" s="84" t="str">
        <f t="shared" si="53"/>
        <v/>
      </c>
      <c r="J989" s="84">
        <f t="shared" si="54"/>
        <v>0</v>
      </c>
    </row>
    <row r="990" spans="6:10" ht="15">
      <c r="F990" s="74">
        <f t="shared" si="52"/>
        <v>0</v>
      </c>
      <c r="I990" s="84" t="str">
        <f t="shared" si="53"/>
        <v/>
      </c>
      <c r="J990" s="84">
        <f t="shared" si="54"/>
        <v>0</v>
      </c>
    </row>
    <row r="991" spans="6:10" ht="15">
      <c r="F991" s="74">
        <f t="shared" si="52"/>
        <v>0</v>
      </c>
      <c r="I991" s="84" t="str">
        <f t="shared" si="53"/>
        <v/>
      </c>
      <c r="J991" s="84">
        <f t="shared" si="54"/>
        <v>0</v>
      </c>
    </row>
    <row r="992" spans="6:10" ht="15">
      <c r="F992" s="74">
        <f t="shared" si="52"/>
        <v>0</v>
      </c>
      <c r="I992" s="84" t="str">
        <f t="shared" si="53"/>
        <v/>
      </c>
      <c r="J992" s="84">
        <f t="shared" si="54"/>
        <v>0</v>
      </c>
    </row>
    <row r="993" spans="6:10" ht="15">
      <c r="F993" s="74">
        <f t="shared" si="52"/>
        <v>0</v>
      </c>
      <c r="I993" s="84" t="str">
        <f t="shared" si="53"/>
        <v/>
      </c>
      <c r="J993" s="84">
        <f t="shared" si="54"/>
        <v>0</v>
      </c>
    </row>
    <row r="994" spans="6:10" ht="15">
      <c r="F994" s="74">
        <f t="shared" si="52"/>
        <v>0</v>
      </c>
      <c r="I994" s="84" t="str">
        <f t="shared" si="53"/>
        <v/>
      </c>
      <c r="J994" s="84">
        <f t="shared" si="54"/>
        <v>0</v>
      </c>
    </row>
    <row r="995" spans="6:10" ht="15">
      <c r="F995" s="74">
        <f t="shared" si="52"/>
        <v>0</v>
      </c>
      <c r="I995" s="84" t="str">
        <f t="shared" si="53"/>
        <v/>
      </c>
      <c r="J995" s="84">
        <f t="shared" si="54"/>
        <v>0</v>
      </c>
    </row>
    <row r="996" spans="6:10" ht="15">
      <c r="F996" s="74">
        <f t="shared" si="52"/>
        <v>0</v>
      </c>
      <c r="I996" s="84" t="str">
        <f t="shared" si="53"/>
        <v/>
      </c>
      <c r="J996" s="84">
        <f t="shared" si="54"/>
        <v>0</v>
      </c>
    </row>
    <row r="997" spans="6:10" ht="15">
      <c r="F997" s="74">
        <f t="shared" si="52"/>
        <v>0</v>
      </c>
      <c r="I997" s="84" t="str">
        <f t="shared" si="53"/>
        <v/>
      </c>
      <c r="J997" s="84">
        <f t="shared" si="54"/>
        <v>0</v>
      </c>
    </row>
    <row r="998" spans="6:10" ht="15">
      <c r="F998" s="74">
        <f t="shared" si="52"/>
        <v>0</v>
      </c>
      <c r="I998" s="84" t="str">
        <f t="shared" si="53"/>
        <v/>
      </c>
      <c r="J998" s="84">
        <f t="shared" si="54"/>
        <v>0</v>
      </c>
    </row>
    <row r="999" spans="6:10" ht="15">
      <c r="F999" s="74">
        <f t="shared" si="52"/>
        <v>0</v>
      </c>
      <c r="I999" s="84" t="str">
        <f t="shared" si="53"/>
        <v/>
      </c>
      <c r="J999" s="84">
        <f t="shared" si="54"/>
        <v>0</v>
      </c>
    </row>
    <row r="1000" spans="6:10" ht="15">
      <c r="F1000" s="74">
        <f t="shared" si="52"/>
        <v>0</v>
      </c>
      <c r="I1000" s="84" t="str">
        <f t="shared" si="53"/>
        <v/>
      </c>
      <c r="J1000" s="84">
        <f t="shared" si="54"/>
        <v>0</v>
      </c>
    </row>
    <row r="1001" spans="6:10" ht="15">
      <c r="F1001" s="74">
        <f t="shared" si="52"/>
        <v>0</v>
      </c>
      <c r="I1001" s="84" t="str">
        <f t="shared" si="53"/>
        <v/>
      </c>
      <c r="J1001" s="84">
        <f t="shared" si="54"/>
        <v>0</v>
      </c>
    </row>
  </sheetData>
  <sheetProtection algorithmName="SHA-512" hashValue="eW59E0SKOtHZFgSnfpKitQXY9Nv+uoswt7Q3MQUedfrekXFzC5SnSR4VVrwE/kUVWq9U9DkCNwJpEqQolixvNw==" saltValue="wWv/a6NJGyqDzUmXejF3ig==" spinCount="100000" sheet="1" formatCells="0" insertColumns="0" insertRows="0" deleteRows="0"/>
  <mergeCells count="3">
    <mergeCell ref="C2:N2"/>
    <mergeCell ref="Q10:Q11"/>
    <mergeCell ref="P10:P11"/>
  </mergeCells>
  <dataValidations count="6">
    <dataValidation type="whole" operator="greaterThanOrEqual" allowBlank="1" showInputMessage="1" showErrorMessage="1" error="Only numbers can be entered in the QTY cells / Seuls des nombres peuvent être entrés dans les cellules de QTÉ" sqref="C5:H1001">
      <formula1>0</formula1>
    </dataValidation>
    <dataValidation type="list" allowBlank="1" showInputMessage="1" showErrorMessage="1" sqref="K5:K1001">
      <formula1>"Oui / Yes, Non / No"</formula1>
    </dataValidation>
    <dataValidation type="whole" operator="greaterThanOrEqual" allowBlank="1" showInputMessage="1" showErrorMessage="1" promptTitle="Warning / Avertissement" prompt="Please use with caution. Minimum ratio = 2._x000a__x000a_Svp utiliser avec prudence. Ratio minimum = 2." errorTitle="Error / Erreur" error="Minimum ratio = 2._x000a__x000a_Ratio minimum = 2." sqref="Q18">
      <formula1>2</formula1>
    </dataValidation>
    <dataValidation type="list" allowBlank="1" showInputMessage="1" sqref="L5:L1001">
      <formula1>Variables!$D$8:$D$16</formula1>
    </dataValidation>
    <dataValidation type="list" allowBlank="1" showInputMessage="1" sqref="M5:M1001">
      <formula1>Variables!$D$19:$D$41</formula1>
    </dataValidation>
    <dataValidation type="list" allowBlank="1" showInputMessage="1" showErrorMessage="1" sqref="Q23">
      <formula1>INDIRECT('1. Info'!$C$12)</formula1>
    </dataValidation>
  </dataValidations>
  <printOptions/>
  <pageMargins left="0.7" right="0.7" top="0.75" bottom="0.75" header="0.3" footer="0.3"/>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2F75B5"/>
    <pageSetUpPr fitToPage="1"/>
  </sheetPr>
  <dimension ref="B2:I48"/>
  <sheetViews>
    <sheetView showGridLines="0" showRowColHeaders="0" workbookViewId="0" topLeftCell="A1">
      <pane ySplit="3" topLeftCell="A4" activePane="bottomLeft" state="frozen"/>
      <selection pane="topLeft" activeCell="F10" sqref="F10"/>
      <selection pane="bottomLeft" activeCell="A1" sqref="A1"/>
    </sheetView>
  </sheetViews>
  <sheetFormatPr defaultColWidth="9.140625" defaultRowHeight="15"/>
  <cols>
    <col min="1" max="1" width="3.28125" style="46" customWidth="1"/>
    <col min="2" max="2" width="48.28125" style="46" customWidth="1"/>
    <col min="3" max="3" width="64.421875" style="46" customWidth="1"/>
    <col min="4" max="4" width="21.7109375" style="46" bestFit="1" customWidth="1"/>
    <col min="5" max="5" width="12.7109375" style="47" customWidth="1"/>
    <col min="6" max="6" width="12.7109375" style="48" customWidth="1"/>
    <col min="7" max="7" width="6.7109375" style="49" bestFit="1" customWidth="1"/>
    <col min="8" max="8" width="17.7109375" style="48" customWidth="1"/>
    <col min="9" max="9" width="3.140625" style="46" customWidth="1"/>
    <col min="10" max="16384" width="9.140625" style="46" customWidth="1"/>
  </cols>
  <sheetData>
    <row r="1" ht="40.15" customHeight="1"/>
    <row r="2" spans="2:8" ht="30" customHeight="1">
      <c r="B2" s="50" t="str">
        <f>IF('1. Info'!$C$6="English","Solution Description",IF('1. Info'!$C$6="Français","Description de la Solution","#Error"))</f>
        <v>Description de la Solution</v>
      </c>
      <c r="C2" s="51"/>
      <c r="D2" s="52"/>
      <c r="E2" s="53"/>
      <c r="F2" s="54"/>
      <c r="G2" s="55"/>
      <c r="H2" s="54"/>
    </row>
    <row r="3" spans="2:8" ht="52.5" customHeight="1">
      <c r="B3" s="166" t="str">
        <f>IF('1. Info'!$C$6="English",Variables!$A$19,IF('1. Info'!$C$6="Français",Variables!$A$20,"#Error"))</f>
        <v>Fournissez à votre client une courte description de la solution contenant les points qui répondent à leurs besoins spécifiques. Les clients apprécient toujours une touche personnelle. Ils veulent savoir que vous ne faites pas seulement qu'entrer des chiffres dans un formulaire. Assurez-vous d'insérer une description de la solution spécifique que vous leur proposez.</v>
      </c>
      <c r="C3" s="166"/>
      <c r="D3" s="166"/>
      <c r="E3" s="166"/>
      <c r="F3" s="166"/>
      <c r="G3" s="166"/>
      <c r="H3" s="166"/>
    </row>
    <row r="4" spans="2:8" s="60" customFormat="1" ht="42">
      <c r="B4" s="56" t="str">
        <f>IF('1. Info'!$C$6="English",'Price List EN'!$A$1,IF('1. Info'!$C$6="Français",'Liste de Prix FR'!$A$1,"#Error"))</f>
        <v>Nom du produit</v>
      </c>
      <c r="C4" s="56" t="str">
        <f>IF('1. Info'!$C$6="English",(VLOOKUP(B4,'Price List EN'!A:AA,2,FALSE)),IF('1. Info'!$C$6="Français",(VLOOKUP(B4,'Liste de Prix FR'!A:S,2,FALSE)),"#Error"))</f>
        <v>Description</v>
      </c>
      <c r="D4" s="56" t="str">
        <f>IF('1. Info'!$C$6="English",(VLOOKUP(B4,'Price List EN'!A:AA,3,FALSE)),IF('1. Info'!$C$6="Français",(VLOOKUP(B4,'Liste de Prix FR'!A:S,3,FALSE)),"#Error"))</f>
        <v>Unité de mesure</v>
      </c>
      <c r="E4" s="57" t="str">
        <f>IF('1. Info'!$C$6="English",IF('1. Info'!$C$8="USD",(VLOOKUP(B4,'Price List EN'!A:AA,4,FALSE)),IF('1. Info'!$C$8="CAD",(VLOOKUP(B4,'Price List EN'!A:AA,6,FALSE)),"#Error")),IF('1. Info'!$C$6="Français",IF('1. Info'!$C$8="USD",(VLOOKUP(B4,'Liste de Prix FR'!A:S,4,FALSE)),IF('1. Info'!$C$8="CAD",(VLOOKUP(B4,'Liste de Prix FR'!A:S,6,FALSE)),"#Error"))))</f>
        <v>Coût de l'unité par heure CAD</v>
      </c>
      <c r="F4" s="58" t="str">
        <f>IF('1. Info'!$C$6="English",IF('1. Info'!$C$8="USD",(VLOOKUP(B4,'Price List EN'!A:AA,5,FALSE)),IF('1. Info'!$C$8="CAD",(VLOOKUP(B4,'Price List EN'!A:AA,7,FALSE)),"#Error")),IF('1. Info'!$C$6="Français",IF('1. Info'!$C$8="USD",(VLOOKUP(B4,'Liste de Prix FR'!A:S,5,FALSE)),IF('1. Info'!$C$8="CAD",(VLOOKUP(B4,'Liste de Prix FR'!A:S,7,FALSE)),"#Erreur"))))</f>
        <v>Coût mensuel CAD</v>
      </c>
      <c r="G4" s="59" t="str">
        <f>IF('1. Info'!$C$6="English",IF('1. Info'!$C$8="USD",(VLOOKUP(B4,'Price List EN'!A:AA,8,FALSE)),IF('1. Info'!$C$8="CAD",(VLOOKUP(B4,'Price List EN'!A:AA,8,FALSE)),"#Error")),IF('1. Info'!$C$6="Français",IF('1. Info'!$C$8="USD",(VLOOKUP(B4,'Liste de Prix FR'!A:S,8,FALSE)),IF('1. Info'!$C$8="CAD",(VLOOKUP(B4,'Liste de Prix FR'!A:S,8,FALSE)),"#Error"))))</f>
        <v>QTÉ</v>
      </c>
      <c r="H4" s="58" t="str">
        <f>IF('1. Info'!$C$6="English",IF('1. Info'!$C$8="USD",(VLOOKUP(B4,'Price List EN'!A:AA,9,FALSE)),IF('1. Info'!$C$8="CAD",(VLOOKUP(B4,'Price List EN'!A:AA,9,FALSE)),"#Error")),IF('1. Info'!$C$6="Français",IF('1. Info'!$C$8="USD",(VLOOKUP(B4,'Liste de Prix FR'!A:S,9,FALSE)),IF('1. Info'!$C$8="CAD",(VLOOKUP(B4,'Liste de Prix FR'!A:S,9,FALSE)),"#Error"))))</f>
        <v>Coût mensuel total</v>
      </c>
    </row>
    <row r="5" spans="2:8" s="60" customFormat="1" ht="15">
      <c r="B5" s="174" t="str">
        <f>IF('1. Info'!$C$6="English","Core Services",IF('1. Info'!$C$6="Français","Services essentiels","#Error"))</f>
        <v>Services essentiels</v>
      </c>
      <c r="C5" s="174"/>
      <c r="D5" s="174"/>
      <c r="E5" s="174"/>
      <c r="F5" s="174"/>
      <c r="G5" s="174"/>
      <c r="H5" s="174"/>
    </row>
    <row r="6" spans="2:8" ht="15">
      <c r="B6" s="61" t="str">
        <f>IF('1. Info'!$C$6="English",'Price List EN'!$A$2,IF('1. Info'!$C$6="Français",'Liste de Prix FR'!$A$2,"#Error"))</f>
        <v>Infrastructure-Service</v>
      </c>
      <c r="C6" s="61"/>
      <c r="D6" s="61"/>
      <c r="E6" s="62"/>
      <c r="F6" s="63"/>
      <c r="G6" s="64"/>
      <c r="H6" s="63"/>
    </row>
    <row r="7" spans="2:8" ht="15">
      <c r="B7" s="65" t="str">
        <f>IF('1. Info'!$C$6="English",'Price List EN'!$A$3,IF('1. Info'!$C$6="Français",'Liste de Prix FR'!$A$3,"#Error"))</f>
        <v>Configuration de l'emplacement des données physiques</v>
      </c>
      <c r="C7" s="65" t="str">
        <f>IF('1. Info'!$C$6="English",(VLOOKUP(B7,'Price List EN'!A:AA,2,FALSE)),IF('1. Info'!$C$6="Français",(VLOOKUP(B7,'Liste de Prix FR'!A:S,2,FALSE)),"#Error"))</f>
        <v>Centre de données Tier3+</v>
      </c>
      <c r="D7" s="65" t="str">
        <f>IF('1. Info'!$C$6="English",(VLOOKUP(B7,'Price List EN'!A:AA,3,FALSE)),IF('1. Info'!$C$6="Français",(VLOOKUP(B7,'Liste de Prix FR'!A:S,3,FALSE)),"#Error"))</f>
        <v>Centre de données</v>
      </c>
      <c r="E7" s="66" t="str">
        <f>IF('1. Info'!$C$6="English",IF('1. Info'!$C$8="USD",(VLOOKUP(B7,'Price List EN'!A:AA,4,FALSE)),IF('1. Info'!$C$8="CAD",(VLOOKUP(B7,'Price List EN'!A:AA,6,FALSE)),"#Error")),IF('1. Info'!$C$6="Français",IF('1. Info'!$C$8="USD",(VLOOKUP(B7,'Liste de Prix FR'!A:S,4,FALSE)),IF('1. Info'!$C$8="CAD",(VLOOKUP(B7,'Liste de Prix FR'!A:S,6,FALSE)),"#Error"))))</f>
        <v>INCLUS</v>
      </c>
      <c r="F7" s="66" t="str">
        <f>IF('1. Info'!$C$6="English",IF('1. Info'!$C$8="USD",(VLOOKUP(B7,'Price List EN'!A:AA,5,FALSE)),IF('1. Info'!$C$8="CAD",(VLOOKUP(B7,'Price List EN'!A:AA,7,FALSE)),"#Error")),IF('1. Info'!$C$6="Français",IF('1. Info'!$C$8="USD",(VLOOKUP(B7,'Liste de Prix FR'!A:S,5,FALSE)),IF('1. Info'!$C$8="CAD",(VLOOKUP(B7,'Liste de Prix FR'!A:S,7,FALSE)),"#Error"))))</f>
        <v>INCLUS</v>
      </c>
      <c r="G7" s="66" t="str">
        <f>IF('1. Info'!$C$6="English",IF('1. Info'!$C$8="USD",(VLOOKUP(B7,'Price List EN'!A:AA,8,FALSE)),IF('1. Info'!$C$8="CAD",(VLOOKUP(B7,'Price List EN'!A:AA,8,FALSE)),"#Error")),IF('1. Info'!$C$6="Français",IF('1. Info'!$C$8="USD",(VLOOKUP(B7,'Liste de Prix FR'!A:S,8,FALSE)),IF('1. Info'!$C$8="CAD",(VLOOKUP(B7,'Liste de Prix FR'!A:S,8,FALSE)),"#Error"))))</f>
        <v>N/A</v>
      </c>
      <c r="H7" s="66" t="str">
        <f>IF('1. Info'!$C$6="English",IF('1. Info'!$C$8="USD",(VLOOKUP(B7,'Price List EN'!A:AA,7,FALSE)),IF('1. Info'!$C$8="CAD",(VLOOKUP(B7,'Price List EN'!A:AA,7,FALSE)),"#Error")),IF('1. Info'!$C$6="Français",IF('1. Info'!$C$8="USD",(VLOOKUP(B7,'Liste de Prix FR'!A:S,7,FALSE)),IF('1. Info'!$C$8="CAD",(VLOOKUP(B7,'Liste de Prix FR'!A:S,7,FALSE)),"#Error"))))</f>
        <v>INCLUS</v>
      </c>
    </row>
    <row r="8" spans="2:8" ht="15">
      <c r="B8" s="65" t="str">
        <f>IF('1. Info'!$C$6="English",'Price List EN'!$A$4,IF('1. Info'!$C$6="Français",'Liste de Prix FR'!$A$4,"#Error"))</f>
        <v>Cœurs virtuels (vCores)</v>
      </c>
      <c r="C8" s="65" t="str">
        <f>IF('1. Info'!$C$6="English",(VLOOKUP(B8,'Price List EN'!A:AA,2,FALSE)),IF('1. Info'!$C$6="Français",(VLOOKUP(B8,'Liste de Prix FR'!A:S,2,FALSE)),"#Error"))</f>
        <v>Dernière génération de processeurs INTEL</v>
      </c>
      <c r="D8" s="65" t="str">
        <f>IF('1. Info'!$C$6="English",(VLOOKUP(B8,'Price List EN'!A:AA,3,FALSE)),IF('1. Info'!$C$6="Français",(VLOOKUP(B8,'Liste de Prix FR'!A:S,3,FALSE)),"#Error"))</f>
        <v>vCore (Unité)</v>
      </c>
      <c r="E8" s="66">
        <f>IF('1. Info'!$C$6="English",IF('1. Info'!$C$8="USD",(VLOOKUP(B8,'Price List EN'!A:AA,4,FALSE)),IF('1. Info'!$C$8="CAD",(VLOOKUP(B8,'Price List EN'!A:AA,6,FALSE)),"#Error")),IF('1. Info'!$C$6="Français",IF('1. Info'!$C$8="USD",(VLOOKUP(B8,'Liste de Prix FR'!A:S,4,FALSE)),IF('1. Info'!$C$8="CAD",(VLOOKUP(B8,'Liste de Prix FR'!A:S,6,FALSE)),"#Error"))))</f>
        <v>0.037</v>
      </c>
      <c r="F8" s="67">
        <f>IF('1. Info'!$C$6="English",IF('1. Info'!$C$8="USD",(VLOOKUP(B8,'Price List EN'!A:AA,5,FALSE)),IF('1. Info'!$C$8="CAD",(VLOOKUP(B8,'Price List EN'!A:AA,7,FALSE)),"#Error")),IF('1. Info'!$C$6="Français",IF('1. Info'!$C$8="USD",(VLOOKUP(B8,'Liste de Prix FR'!A:S,5,FALSE)),IF('1. Info'!$C$8="CAD",(VLOOKUP(B8,'Liste de Prix FR'!A:S,7,FALSE)),"#Error"))))</f>
        <v>27.009999999999998</v>
      </c>
      <c r="G8" s="68">
        <f>'2. VM'!Q12</f>
        <v>2</v>
      </c>
      <c r="H8" s="67">
        <f aca="true" t="shared" si="0" ref="H8:H13">F8*G8</f>
        <v>54.019999999999996</v>
      </c>
    </row>
    <row r="9" spans="2:8" ht="15">
      <c r="B9" s="65" t="str">
        <f>IF('1. Info'!$C$6="English",'Price List EN'!$A$5,IF('1. Info'!$C$6="Français",'Liste de Prix FR'!$A$5,"#Error"))</f>
        <v>Mémoire dédiée</v>
      </c>
      <c r="C9" s="65" t="str">
        <f>IF('1. Info'!$C$6="English",(VLOOKUP(B9,'Price List EN'!A:AA,2,FALSE)),IF('1. Info'!$C$6="Français",(VLOOKUP(B9,'Liste de Prix FR'!A:S,2,FALSE)),"#Error"))</f>
        <v>Mémoire dédiée ECC Haute Vitesse</v>
      </c>
      <c r="D9" s="65" t="str">
        <f>IF('1. Info'!$C$6="English",(VLOOKUP(B9,'Price List EN'!A:AA,3,FALSE)),IF('1. Info'!$C$6="Français",(VLOOKUP(B9,'Liste de Prix FR'!A:S,3,FALSE)),"#Error"))</f>
        <v>Gigaoctet (Go)</v>
      </c>
      <c r="E9" s="66">
        <f>IF('1. Info'!$C$6="English",IF('1. Info'!$C$8="USD",(VLOOKUP(B9,'Price List EN'!A:AA,4,FALSE)),IF('1. Info'!$C$8="CAD",(VLOOKUP(B9,'Price List EN'!A:AA,6,FALSE)),"#Error")),IF('1. Info'!$C$6="Français",IF('1. Info'!$C$8="USD",(VLOOKUP(B9,'Liste de Prix FR'!A:S,4,FALSE)),IF('1. Info'!$C$8="CAD",(VLOOKUP(B9,'Liste de Prix FR'!A:S,6,FALSE)),"#Error"))))</f>
        <v>0.017</v>
      </c>
      <c r="F9" s="67">
        <f>IF('1. Info'!$C$6="English",IF('1. Info'!$C$8="USD",(VLOOKUP(B9,'Price List EN'!A:AA,5,FALSE)),IF('1. Info'!$C$8="CAD",(VLOOKUP(B9,'Price List EN'!A:AA,7,FALSE)),"#Error")),IF('1. Info'!$C$6="Français",IF('1. Info'!$C$8="USD",(VLOOKUP(B9,'Liste de Prix FR'!A:S,5,FALSE)),IF('1. Info'!$C$8="CAD",(VLOOKUP(B9,'Liste de Prix FR'!A:S,7,FALSE)),"#Error"))))</f>
        <v>12.41</v>
      </c>
      <c r="G9" s="68">
        <f>'2. VM'!Q13</f>
        <v>16</v>
      </c>
      <c r="H9" s="67">
        <f t="shared" si="0"/>
        <v>198.56</v>
      </c>
    </row>
    <row r="10" spans="2:8" ht="15">
      <c r="B10" s="65" t="str">
        <f>IF('1. Info'!$C$6="English",'Price List EN'!$A$6,IF('1. Info'!$C$6="Français",'Liste de Prix FR'!$A$6,"#Error"))</f>
        <v>Stockage Premium SSD en réseau</v>
      </c>
      <c r="C10" s="65" t="str">
        <f>IF('1. Info'!$C$6="English",(VLOOKUP(B10,'Price List EN'!A:AA,2,FALSE)),IF('1. Info'!$C$6="Français",(VLOOKUP(B10,'Liste de Prix FR'!A:S,2,FALSE)),"#Error"))</f>
        <v>Stockage en réseau Compellent Enterprise</v>
      </c>
      <c r="D10" s="65" t="str">
        <f>IF('1. Info'!$C$6="English",(VLOOKUP(B10,'Price List EN'!A:AA,3,FALSE)),IF('1. Info'!$C$6="Français",(VLOOKUP(B10,'Liste de Prix FR'!A:S,3,FALSE)),"#Error"))</f>
        <v>Gigaoctet (Go)</v>
      </c>
      <c r="E10" s="66">
        <f>IF('1. Info'!$C$6="English",IF('1. Info'!$C$8="USD",(VLOOKUP(B10,'Price List EN'!A:AA,4,FALSE)),IF('1. Info'!$C$8="CAD",(VLOOKUP(B10,'Price List EN'!A:AA,6,FALSE)),"#Error")),IF('1. Info'!$C$6="Français",IF('1. Info'!$C$8="USD",(VLOOKUP(B10,'Liste de Prix FR'!A:S,4,FALSE)),IF('1. Info'!$C$8="CAD",(VLOOKUP(B10,'Liste de Prix FR'!A:S,6,FALSE)),"#Error"))))</f>
        <v>0.0006</v>
      </c>
      <c r="F10" s="67">
        <f>IF('1. Info'!$C$6="English",IF('1. Info'!$C$8="USD",(VLOOKUP(B10,'Price List EN'!A:AA,5,FALSE)),IF('1. Info'!$C$8="CAD",(VLOOKUP(B10,'Price List EN'!A:AA,7,FALSE)),"#Error")),IF('1. Info'!$C$6="Français",IF('1. Info'!$C$8="USD",(VLOOKUP(B10,'Liste de Prix FR'!A:S,5,FALSE)),IF('1. Info'!$C$8="CAD",(VLOOKUP(B10,'Liste de Prix FR'!A:S,7,FALSE)),"#Error"))))</f>
        <v>0.43799999999999994</v>
      </c>
      <c r="G10" s="68">
        <f>'2. VM'!Q14-SUM('2. VM'!F:F)</f>
        <v>372</v>
      </c>
      <c r="H10" s="67">
        <f t="shared" si="0"/>
        <v>162.93599999999998</v>
      </c>
    </row>
    <row r="11" spans="2:8" ht="15">
      <c r="B11" s="65" t="str">
        <f>IF('1. Info'!$C$6="English",'Price List EN'!$A$7,IF('1. Info'!$C$6="Français",'Liste de Prix FR'!$A$7,"#Error"))</f>
        <v>Stockage Standard HDD en réseau</v>
      </c>
      <c r="C11" s="65" t="str">
        <f>IF('1. Info'!$C$6="English",(VLOOKUP(B11,'Price List EN'!A:AA,2,FALSE)),IF('1. Info'!$C$6="Français",(VLOOKUP(B11,'Liste de Prix FR'!A:S,2,FALSE)),"#Error"))</f>
        <v>Stockage en réseau Compellent Enterprise</v>
      </c>
      <c r="D11" s="65" t="str">
        <f>IF('1. Info'!$C$6="English",(VLOOKUP(B11,'Price List EN'!A:AA,3,FALSE)),IF('1. Info'!$C$6="Français",(VLOOKUP(B11,'Liste de Prix FR'!A:S,3,FALSE)),"#Error"))</f>
        <v>Gigaoctet (Go)</v>
      </c>
      <c r="E11" s="66">
        <f>IF('1. Info'!$C$6="English",IF('1. Info'!$C$8="USD",(VLOOKUP(B11,'Price List EN'!A:AA,4,FALSE)),IF('1. Info'!$C$8="CAD",(VLOOKUP(B11,'Price List EN'!A:AA,6,FALSE)),"#Error")),IF('1. Info'!$C$6="Français",IF('1. Info'!$C$8="USD",(VLOOKUP(B11,'Liste de Prix FR'!A:S,4,FALSE)),IF('1. Info'!$C$8="CAD",(VLOOKUP(B11,'Liste de Prix FR'!A:S,6,FALSE)),"#Error"))))</f>
        <v>0.000136</v>
      </c>
      <c r="F11" s="67">
        <f>IF('1. Info'!$C$6="English",IF('1. Info'!$C$8="USD",(VLOOKUP(B11,'Price List EN'!A:AA,5,FALSE)),IF('1. Info'!$C$8="CAD",(VLOOKUP(B11,'Price List EN'!A:AA,7,FALSE)),"#Error")),IF('1. Info'!$C$6="Français",IF('1. Info'!$C$8="USD",(VLOOKUP(B11,'Liste de Prix FR'!A:S,5,FALSE)),IF('1. Info'!$C$8="CAD",(VLOOKUP(B11,'Liste de Prix FR'!A:S,7,FALSE)),"#Error"))))</f>
        <v>0.09928</v>
      </c>
      <c r="G11" s="68">
        <f>'2. VM'!Q15</f>
        <v>0</v>
      </c>
      <c r="H11" s="67">
        <f t="shared" si="0"/>
        <v>0</v>
      </c>
    </row>
    <row r="12" spans="2:8" ht="15">
      <c r="B12" s="65" t="str">
        <f>IF('1. Info'!$C$6="English",'Price List EN'!$A$8,IF('1. Info'!$C$6="Français",'Liste de Prix FR'!$A$8,"#Error"))</f>
        <v>Sauvegarde VM</v>
      </c>
      <c r="C12" s="65" t="str">
        <f>IF('1. Info'!$C$6="English",(VLOOKUP(B12,'Price List EN'!A:AA,2,FALSE)),IF('1. Info'!$C$6="Français",(VLOOKUP(B12,'Liste de Prix FR'!A:S,2,FALSE)),"#Error"))</f>
        <v>Plan de sauvegarde quotidien, 7 jrs/7, par VM</v>
      </c>
      <c r="D12" s="65" t="str">
        <f>IF('1. Info'!$C$6="English",(VLOOKUP(B12,'Price List EN'!A:AA,3,FALSE)),IF('1. Info'!$C$6="Français",(VLOOKUP(B12,'Liste de Prix FR'!A:S,3,FALSE)),"#Error"))</f>
        <v>Serveur virtuel</v>
      </c>
      <c r="E12" s="66">
        <f>IF('1. Info'!$C$6="English",IF('1. Info'!$C$8="USD",(VLOOKUP(B12,'Price List EN'!A:AA,4,FALSE)),IF('1. Info'!$C$8="CAD",(VLOOKUP(B12,'Price List EN'!A:AA,6,FALSE)),"#Error")),IF('1. Info'!$C$6="Français",IF('1. Info'!$C$8="USD",(VLOOKUP(B12,'Liste de Prix FR'!A:S,4,FALSE)),IF('1. Info'!$C$8="CAD",(VLOOKUP(B12,'Liste de Prix FR'!A:S,6,FALSE)),"#Error"))))</f>
        <v>0.0296</v>
      </c>
      <c r="F12" s="67">
        <f>IF('1. Info'!$C$6="English",IF('1. Info'!$C$8="USD",(VLOOKUP(B12,'Price List EN'!A:AA,5,FALSE)),IF('1. Info'!$C$8="CAD",(VLOOKUP(B12,'Price List EN'!A:AA,7,FALSE)),"#Error")),IF('1. Info'!$C$6="Français",IF('1. Info'!$C$8="USD",(VLOOKUP(B12,'Liste de Prix FR'!A:S,5,FALSE)),IF('1. Info'!$C$8="CAD",(VLOOKUP(B12,'Liste de Prix FR'!A:S,7,FALSE)),"#Error"))))</f>
        <v>21.608</v>
      </c>
      <c r="G12" s="68">
        <f>'2. VM'!Q16</f>
        <v>1</v>
      </c>
      <c r="H12" s="67">
        <f t="shared" si="0"/>
        <v>21.608</v>
      </c>
    </row>
    <row r="13" spans="2:8" ht="15">
      <c r="B13" s="65" t="str">
        <f>IF('1. Info'!$C$6="English",'Price List EN'!$A$9,IF('1. Info'!$C$6="Français",'Liste de Prix FR'!$A$9,"#Error"))</f>
        <v>Sauvegarde VM - Stockage Extra</v>
      </c>
      <c r="C13" s="65" t="str">
        <f>IF('1. Info'!$C$6="English",(VLOOKUP(B13,'Price List EN'!A:AA,2,FALSE)),IF('1. Info'!$C$6="Français",(VLOOKUP(B13,'Liste de Prix FR'!A:S,2,FALSE)),"#Error"))</f>
        <v>Stockage additionnel pour les sauvegardes de VM &gt; 1To</v>
      </c>
      <c r="D13" s="65" t="str">
        <f>IF('1. Info'!$C$6="English",(VLOOKUP(B13,'Price List EN'!A:AA,3,FALSE)),IF('1. Info'!$C$6="Français",(VLOOKUP(B13,'Liste de Prix FR'!A:S,3,FALSE)),"#Error"))</f>
        <v>Teraoctet (To)</v>
      </c>
      <c r="E13" s="66" t="str">
        <f>IF('1. Info'!$C$6="English",IF('1. Info'!$C$8="USD",(VLOOKUP(B13,'Price List EN'!A:AA,4,FALSE)),IF('1. Info'!$C$8="CAD",(VLOOKUP(B13,'Price List EN'!A:AA,6,FALSE)),"#Error")),IF('1. Info'!$C$6="Français",IF('1. Info'!$C$8="USD",(VLOOKUP(B13,'Liste de Prix FR'!A:S,4,FALSE)),IF('1. Info'!$C$8="CAD",(VLOOKUP(B13,'Liste de Prix FR'!A:S,6,FALSE)),"#Error"))))</f>
        <v>Mensuel</v>
      </c>
      <c r="F13" s="67">
        <f>IF('1. Info'!$C$6="English",IF('1. Info'!$C$8="USD",(VLOOKUP(B13,'Price List EN'!A:AA,5,FALSE)),IF('1. Info'!$C$8="CAD",(VLOOKUP(B13,'Price List EN'!A:AA,7,FALSE)),"#Error")),IF('1. Info'!$C$6="Français",IF('1. Info'!$C$8="USD",(VLOOKUP(B13,'Liste de Prix FR'!A:S,5,FALSE)),IF('1. Info'!$C$8="CAD",(VLOOKUP(B13,'Liste de Prix FR'!A:S,7,FALSE)),"#Error"))))</f>
        <v>20</v>
      </c>
      <c r="G13" s="68">
        <f>'2. VM'!Q17</f>
        <v>0</v>
      </c>
      <c r="H13" s="67">
        <f t="shared" si="0"/>
        <v>0</v>
      </c>
    </row>
    <row r="14" spans="2:8" ht="15">
      <c r="B14" s="61" t="str">
        <f>IF('1. Info'!$C$6="English",'Price List EN'!$A$10,IF('1. Info'!$C$6="Français",'Liste de Prix FR'!$A$10,"#Error"))</f>
        <v>Réseautage</v>
      </c>
      <c r="C14" s="61"/>
      <c r="D14" s="61"/>
      <c r="E14" s="61"/>
      <c r="F14" s="69"/>
      <c r="G14" s="64"/>
      <c r="H14" s="64"/>
    </row>
    <row r="15" spans="2:8" ht="15">
      <c r="B15" s="65" t="str">
        <f>IF('1. Info'!$C$6="English",'Price List EN'!$A$11,IF('1. Info'!$C$6="Français",'Liste de Prix FR'!$A$11,"#Error"))</f>
        <v>Bande passante Internet en sortie</v>
      </c>
      <c r="C15" s="65" t="str">
        <f>IF('1. Info'!$C$6="English",(VLOOKUP(B15,'Price List EN'!A:AA,2,FALSE)),IF('1. Info'!$C$6="Français",(VLOOKUP(B15,'Liste de Prix FR'!A:S,2,FALSE)),"#Error"))</f>
        <v>Tout le trafic local et en entrée n'est pas facturé</v>
      </c>
      <c r="D15" s="65" t="str">
        <f>IF('1. Info'!$C$6="English",(VLOOKUP(B15,'Price List EN'!A:AA,3,FALSE)),IF('1. Info'!$C$6="Français",(VLOOKUP(B15,'Liste de Prix FR'!A:S,3,FALSE)),"#Error"))</f>
        <v>Gigaoctet (Go)</v>
      </c>
      <c r="E15" s="66" t="str">
        <f>IF('1. Info'!$C$6="English",IF('1. Info'!$C$8="USD",(VLOOKUP(B15,'Price List EN'!A:AA,4,FALSE)),IF('1. Info'!$C$8="CAD",(VLOOKUP(B15,'Price List EN'!A:AA,6,FALSE)),"#Error")),IF('1. Info'!$C$6="Français",IF('1. Info'!$C$8="USD",(VLOOKUP(B15,'Liste de Prix FR'!A:S,4,FALSE)),IF('1. Info'!$C$8="CAD",(VLOOKUP(B15,'Liste de Prix FR'!A:S,6,FALSE)),"#Error"))))</f>
        <v>Mensuel</v>
      </c>
      <c r="F15" s="67">
        <f>IF('1. Info'!$C$6="English",IF('1. Info'!$C$8="USD",(VLOOKUP(B15,'Price List EN'!A:AA,5,FALSE)),IF('1. Info'!$C$8="CAD",(VLOOKUP(B15,'Price List EN'!A:AA,7,FALSE)),"#Error")),IF('1. Info'!$C$6="Français",IF('1. Info'!$C$8="USD",(VLOOKUP(B15,'Liste de Prix FR'!A:S,5,FALSE)),IF('1. Info'!$C$8="CAD",(VLOOKUP(B15,'Liste de Prix FR'!A:S,7,FALSE)),"#Error"))))</f>
        <v>0.11</v>
      </c>
      <c r="G15" s="68">
        <v>0</v>
      </c>
      <c r="H15" s="67">
        <f>F15*G15</f>
        <v>0</v>
      </c>
    </row>
    <row r="16" spans="2:8" ht="15">
      <c r="B16" s="65" t="str">
        <f>IF('1. Info'!$C$6="English",'Price List EN'!$A$12,IF('1. Info'!$C$6="Français",'Liste de Prix FR'!$A$12,"#Error"))</f>
        <v>RPV Site (VPN)</v>
      </c>
      <c r="C16" s="65" t="str">
        <f>IF('1. Info'!$C$6="English",(VLOOKUP(B16,'Price List EN'!A:AA,2,FALSE)),IF('1. Info'!$C$6="Français",(VLOOKUP(B16,'Liste de Prix FR'!A:S,2,FALSE)),"#Error"))</f>
        <v>RPV site à site sécurisé</v>
      </c>
      <c r="D16" s="65" t="str">
        <f>IF('1. Info'!$C$6="English",(VLOOKUP(B16,'Price List EN'!A:AA,3,FALSE)),IF('1. Info'!$C$6="Français",(VLOOKUP(B16,'Liste de Prix FR'!A:S,3,FALSE)),"#Error"))</f>
        <v>Site</v>
      </c>
      <c r="E16" s="66">
        <f>IF('1. Info'!$C$6="English",IF('1. Info'!$C$8="USD",(VLOOKUP(B16,'Price List EN'!A:AA,4,FALSE)),IF('1. Info'!$C$8="CAD",(VLOOKUP(B16,'Price List EN'!A:AA,6,FALSE)),"#Error")),IF('1. Info'!$C$6="Français",IF('1. Info'!$C$8="USD",(VLOOKUP(B16,'Liste de Prix FR'!A:S,4,FALSE)),IF('1. Info'!$C$8="CAD",(VLOOKUP(B16,'Liste de Prix FR'!A:S,6,FALSE)),"#Error"))))</f>
        <v>0.0301</v>
      </c>
      <c r="F16" s="67">
        <f>IF('1. Info'!$C$6="English",IF('1. Info'!$C$8="USD",(VLOOKUP(B16,'Price List EN'!A:AA,5,FALSE)),IF('1. Info'!$C$8="CAD",(VLOOKUP(B16,'Price List EN'!A:AA,7,FALSE)),"#Error")),IF('1. Info'!$C$6="Français",IF('1. Info'!$C$8="USD",(VLOOKUP(B16,'Liste de Prix FR'!A:S,5,FALSE)),IF('1. Info'!$C$8="CAD",(VLOOKUP(B16,'Liste de Prix FR'!A:S,7,FALSE)),"#Error"))))</f>
        <v>21.973</v>
      </c>
      <c r="G16" s="68">
        <v>0</v>
      </c>
      <c r="H16" s="67">
        <f>F16*G16</f>
        <v>0</v>
      </c>
    </row>
    <row r="17" spans="2:8" ht="15">
      <c r="B17" s="65" t="str">
        <f>IF('1. Info'!$C$6="English",'Price List EN'!$A$13,IF('1. Info'!$C$6="Français",'Liste de Prix FR'!$A$13,"#Error"))</f>
        <v>RPV Point (VPN)</v>
      </c>
      <c r="C17" s="65" t="str">
        <f>IF('1. Info'!$C$6="English",(VLOOKUP(B17,'Price List EN'!A:AA,2,FALSE)),IF('1. Info'!$C$6="Français",(VLOOKUP(B17,'Liste de Prix FR'!A:S,2,FALSE)),"#Error"))</f>
        <v>RPV point à site sécurisé</v>
      </c>
      <c r="D17" s="65" t="str">
        <f>IF('1. Info'!$C$6="English",(VLOOKUP(B17,'Price List EN'!A:AA,3,FALSE)),IF('1. Info'!$C$6="Français",(VLOOKUP(B17,'Liste de Prix FR'!A:S,3,FALSE)),"#Error"))</f>
        <v>Usager</v>
      </c>
      <c r="E17" s="66" t="str">
        <f>IF('1. Info'!$C$6="English",IF(OR('1. Info'!$C$10="Montreal (CAN)",'1. Info'!$C$10="Quebec (CAN)"),"Not Available",IF('1. Info'!$C$8="USD",(VLOOKUP(B17,'Price List EN'!A:AA,4,FALSE)),IF('1. Info'!$C$8="CAD",(VLOOKUP(B17,'Price List EN'!A:AA,6,FALSE)),"#Error"))),IF('1. Info'!$C$6="Français",IF(OR('1. Info'!$C$10="Montreal (CAN)",'1. Info'!$C$10="Quebec (CAN)"),"Non disponible",IF('1. Info'!$C$8="USD",(VLOOKUP(B17,'Liste de Prix FR'!A:S,4,FALSE)),IF('1. Info'!$C$8="CAD",(VLOOKUP(B17,'Liste de Prix FR'!A:S,6,FALSE)),"#Error")))))</f>
        <v>Non disponible</v>
      </c>
      <c r="F17" s="67" t="str">
        <f>IF('1. Info'!$C$6="English",IF(OR('1. Info'!$C$10="Montreal (CAN)",'1. Info'!$C$10="Quebec (CAN)"),"Not Available",IF('1. Info'!$C$8="USD",(VLOOKUP(B17,'Price List EN'!A:AA,5,FALSE)),IF('1. Info'!$C$8="CAD",(VLOOKUP(B17,'Price List EN'!A:AA,7,FALSE)),"#Error"))),IF('1. Info'!$C$6="Français",IF(OR('1. Info'!$C$10="Montreal (CAN)",'1. Info'!$C$10="Quebec (CAN)"),"Non disponible",IF('1. Info'!$C$8="USD",(VLOOKUP(B17,'Liste de Prix FR'!A:S,5,FALSE)),IF('1. Info'!$C$8="CAD",(VLOOKUP(B17,'Liste de Prix FR'!A:S,7,FALSE)),"#Error")))))</f>
        <v>Non disponible</v>
      </c>
      <c r="G17" s="68">
        <v>0</v>
      </c>
      <c r="H17" s="67">
        <f>IF(OR(OR('1. Info'!$C$10="Montreal (CAN)",'1. Info'!$C$10="Quebec (CAN)"),OR('1. Info'!$C$10="Montreal (CAN)",'1. Info'!$C$10="Quebec (CAN)")),0,F17*G17)</f>
        <v>0</v>
      </c>
    </row>
    <row r="18" spans="2:8" ht="15">
      <c r="B18" s="65" t="str">
        <f>IF('1. Info'!$C$6="English",'Price List EN'!$A$14,IF('1. Info'!$C$6="Français",'Liste de Prix FR'!$A$14,"#Error"))</f>
        <v>Adresse IP publique</v>
      </c>
      <c r="C18" s="65" t="str">
        <f>IF('1. Info'!$C$6="English",(VLOOKUP(B18,'Price List EN'!A:AA,2,FALSE)),IF('1. Info'!$C$6="Français",(VLOOKUP(B18,'Liste de Prix FR'!A:S,2,FALSE)),"#Error"))</f>
        <v>(Les 3 premières adresses IP sont incluses et sans frais)</v>
      </c>
      <c r="D18" s="65" t="str">
        <f>IF('1. Info'!$C$6="English",(VLOOKUP(B18,'Price List EN'!A:AA,3,FALSE)),IF('1. Info'!$C$6="Français",(VLOOKUP(B18,'Liste de Prix FR'!A:S,3,FALSE)),"#Error"))</f>
        <v>IP (Les 3 1e gratuites)</v>
      </c>
      <c r="E18" s="66">
        <f>IF('1. Info'!$C$6="English",IF('1. Info'!$C$8="USD",(VLOOKUP(B18,'Price List EN'!A:AA,4,FALSE)),IF('1. Info'!$C$8="CAD",(VLOOKUP(B18,'Price List EN'!A:AA,6,FALSE)),"#Error")),IF('1. Info'!$C$6="Français",IF('1. Info'!$C$8="USD",(VLOOKUP(B18,'Liste de Prix FR'!A:S,4,FALSE)),IF('1. Info'!$C$8="CAD",(VLOOKUP(B18,'Liste de Prix FR'!A:S,6,FALSE)),"#Error"))))</f>
        <v>0.0076</v>
      </c>
      <c r="F18" s="67">
        <f>IF('1. Info'!$C$6="English",IF('1. Info'!$C$8="USD",(VLOOKUP(B18,'Price List EN'!A:AA,5,FALSE)),IF('1. Info'!$C$8="CAD",(VLOOKUP(B18,'Price List EN'!A:AA,7,FALSE)),"#Error")),IF('1. Info'!$C$6="Français",IF('1. Info'!$C$8="USD",(VLOOKUP(B18,'Liste de Prix FR'!A:S,5,FALSE)),IF('1. Info'!$C$8="CAD",(VLOOKUP(B18,'Liste de Prix FR'!A:S,7,FALSE)),"#Error"))))</f>
        <v>5.548</v>
      </c>
      <c r="G18" s="68">
        <v>0</v>
      </c>
      <c r="H18" s="67">
        <f>IF($G$18&lt;=3,0,($G$18-3)*$F$18)</f>
        <v>0</v>
      </c>
    </row>
    <row r="19" spans="2:8" ht="15">
      <c r="B19" s="173" t="str">
        <f>IF('1. Info'!$C$6="English",'Price List EN'!$A$15,IF('1. Info'!$C$6="Français",'Liste de Prix FR'!$A$15,"#Error"))</f>
        <v>Recouvrement après désastre - Veeam Réplication</v>
      </c>
      <c r="C19" s="173"/>
      <c r="D19" s="61"/>
      <c r="E19" s="61"/>
      <c r="F19" s="69"/>
      <c r="G19" s="64"/>
      <c r="H19" s="63"/>
    </row>
    <row r="20" spans="2:8" ht="15">
      <c r="B20" s="65" t="str">
        <f>IF('1. Info'!$C$6="English",'Price List EN'!$A$16,IF('1. Info'!$C$6="Français",'Liste de Prix FR'!$A$16,"#Error"))</f>
        <v>Veeam Réplication - VM</v>
      </c>
      <c r="C20" s="65" t="str">
        <f>IF('1. Info'!$C$6="English",(VLOOKUP(B20,'Price List EN'!A:AA,2,FALSE)),IF('1. Info'!$C$6="Français",(VLOOKUP(B20,'Liste de Prix FR'!A:S,2,FALSE)),"#Error"))</f>
        <v>Par VM</v>
      </c>
      <c r="D20" s="65" t="str">
        <f>IF('1. Info'!$C$6="English",(VLOOKUP(B20,'Price List EN'!A:AA,3,FALSE)),IF('1. Info'!$C$6="Français",(VLOOKUP(B20,'Liste de Prix FR'!A:S,3,FALSE)),"#Error"))</f>
        <v>Serveur virtuel</v>
      </c>
      <c r="E20" s="66" t="str">
        <f>IF('1. Info'!$C$6="English",IF('1. Info'!$C$8="USD",(VLOOKUP(B20,'Price List EN'!A:AA,4,FALSE)),IF('1. Info'!$C$8="CAD",(VLOOKUP(B20,'Price List EN'!A:AA,6,FALSE)),"#Error")),IF('1. Info'!$C$6="Français",IF('1. Info'!$C$8="USD",(VLOOKUP(B20,'Liste de Prix FR'!A:S,4,FALSE)),IF('1. Info'!$C$8="CAD",(VLOOKUP(B20,'Liste de Prix FR'!A:S,6,FALSE)),"#Error"))))</f>
        <v>Mensuel</v>
      </c>
      <c r="F20" s="67">
        <f>IF('1. Info'!$C$6="English",IF('1. Info'!$C$8="USD",(VLOOKUP(B20,'Price List EN'!A:AA,5,FALSE)),IF('1. Info'!$C$8="CAD",(VLOOKUP(B20,'Price List EN'!A:AA,7,FALSE)),"#Error")),IF('1. Info'!$C$6="Français",IF('1. Info'!$C$8="USD",(VLOOKUP(B20,'Liste de Prix FR'!A:S,5,FALSE)),IF('1. Info'!$C$8="CAD",(VLOOKUP(B20,'Liste de Prix FR'!A:S,7,FALSE)),"#Error"))))</f>
        <v>22</v>
      </c>
      <c r="G20" s="68">
        <v>0</v>
      </c>
      <c r="H20" s="67">
        <f>F20*G20</f>
        <v>0</v>
      </c>
    </row>
    <row r="21" spans="2:8" ht="15">
      <c r="B21" s="65" t="str">
        <f>IF('1. Info'!$C$6="English",'Price List EN'!$A$17,IF('1. Info'!$C$6="Français",'Liste de Prix FR'!$A$17,"#Error"))</f>
        <v>Veeam Réplication - Stockage Premium SSD</v>
      </c>
      <c r="C21" s="65" t="str">
        <f>IF('1. Info'!$C$6="English",(VLOOKUP(B21,'Price List EN'!A:AA,2,FALSE)),IF('1. Info'!$C$6="Français",(VLOOKUP(B21,'Liste de Prix FR'!A:S,2,FALSE)),"#Error"))</f>
        <v>Par Go</v>
      </c>
      <c r="D21" s="65" t="str">
        <f>IF('1. Info'!$C$6="English",(VLOOKUP(B21,'Price List EN'!A:AA,3,FALSE)),IF('1. Info'!$C$6="Français",(VLOOKUP(B21,'Liste de Prix FR'!A:S,3,FALSE)),"#Error"))</f>
        <v>Gigaoctet (Go)</v>
      </c>
      <c r="E21" s="66" t="str">
        <f>IF('1. Info'!$C$6="English",IF('1. Info'!$C$8="USD",(VLOOKUP(B21,'Price List EN'!A:AA,4,FALSE)),IF('1. Info'!$C$8="CAD",(VLOOKUP(B21,'Price List EN'!A:AA,6,FALSE)),"#Error")),IF('1. Info'!$C$6="Français",IF('1. Info'!$C$8="USD",(VLOOKUP(B21,'Liste de Prix FR'!A:S,4,FALSE)),IF('1. Info'!$C$8="CAD",(VLOOKUP(B21,'Liste de Prix FR'!A:S,6,FALSE)),"#Error"))))</f>
        <v>Mensuel</v>
      </c>
      <c r="F21" s="67">
        <f>IF('1. Info'!$C$6="English",IF('1. Info'!$C$8="USD",(VLOOKUP(B21,'Price List EN'!A:AA,5,FALSE)),IF('1. Info'!$C$8="CAD",(VLOOKUP(B21,'Price List EN'!A:AA,7,FALSE)),"#Error")),IF('1. Info'!$C$6="Français",IF('1. Info'!$C$8="USD",(VLOOKUP(B21,'Liste de Prix FR'!A:S,5,FALSE)),IF('1. Info'!$C$8="CAD",(VLOOKUP(B21,'Liste de Prix FR'!A:S,7,FALSE)),"#Error"))))</f>
        <v>0.43799999999999994</v>
      </c>
      <c r="G21" s="68">
        <v>0</v>
      </c>
      <c r="H21" s="67">
        <f>F21*G21</f>
        <v>0</v>
      </c>
    </row>
    <row r="22" spans="2:8" ht="15">
      <c r="B22" s="65" t="str">
        <f>IF('1. Info'!$C$6="English",'Price List EN'!$A$18,IF('1. Info'!$C$6="Français",'Liste de Prix FR'!$A$18,"#Error"))</f>
        <v>Veeam Réplication - Stockage Standard HDD</v>
      </c>
      <c r="C22" s="65" t="str">
        <f>IF('1. Info'!$C$6="English",(VLOOKUP(B22,'Price List EN'!A:AA,2,FALSE)),IF('1. Info'!$C$6="Français",(VLOOKUP(B22,'Liste de Prix FR'!A:S,2,FALSE)),"#Error"))</f>
        <v>Par Go</v>
      </c>
      <c r="D22" s="65" t="str">
        <f>IF('1. Info'!$C$6="English",(VLOOKUP(B22,'Price List EN'!A:AA,3,FALSE)),IF('1. Info'!$C$6="Français",(VLOOKUP(B22,'Liste de Prix FR'!A:S,3,FALSE)),"#Error"))</f>
        <v>Gigaoctet (Go)</v>
      </c>
      <c r="E22" s="66" t="str">
        <f>IF('1. Info'!$C$6="English",IF('1. Info'!$C$8="USD",(VLOOKUP(B22,'Price List EN'!A:AA,4,FALSE)),IF('1. Info'!$C$8="CAD",(VLOOKUP(B22,'Price List EN'!A:AA,6,FALSE)),"#Error")),IF('1. Info'!$C$6="Français",IF('1. Info'!$C$8="USD",(VLOOKUP(B22,'Liste de Prix FR'!A:S,4,FALSE)),IF('1. Info'!$C$8="CAD",(VLOOKUP(B22,'Liste de Prix FR'!A:S,6,FALSE)),"#Error"))))</f>
        <v>Mensuel</v>
      </c>
      <c r="F22" s="67">
        <f>IF('1. Info'!$C$6="English",IF('1. Info'!$C$8="USD",(VLOOKUP(B22,'Price List EN'!A:AA,5,FALSE)),IF('1. Info'!$C$8="CAD",(VLOOKUP(B22,'Price List EN'!A:AA,7,FALSE)),"#Error")),IF('1. Info'!$C$6="Français",IF('1. Info'!$C$8="USD",(VLOOKUP(B22,'Liste de Prix FR'!A:S,5,FALSE)),IF('1. Info'!$C$8="CAD",(VLOOKUP(B22,'Liste de Prix FR'!A:S,7,FALSE)),"#Error"))))</f>
        <v>0.09928</v>
      </c>
      <c r="G22" s="68">
        <v>0</v>
      </c>
      <c r="H22" s="67">
        <f>F22*G22</f>
        <v>0</v>
      </c>
    </row>
    <row r="23" spans="2:8" ht="7.5" customHeight="1">
      <c r="B23" s="65"/>
      <c r="C23" s="65"/>
      <c r="D23" s="65"/>
      <c r="E23" s="66"/>
      <c r="F23" s="67"/>
      <c r="G23" s="70"/>
      <c r="H23" s="67"/>
    </row>
    <row r="24" spans="2:8" s="60" customFormat="1" ht="15">
      <c r="B24" s="174" t="str">
        <f>IF('1. Info'!$C$6="English","Licenses",IF('1. Info'!$C$6="Français","Licences","#Error"))</f>
        <v>Licences</v>
      </c>
      <c r="C24" s="174"/>
      <c r="D24" s="174"/>
      <c r="E24" s="174"/>
      <c r="F24" s="174"/>
      <c r="G24" s="174"/>
      <c r="H24" s="174"/>
    </row>
    <row r="25" spans="2:8" ht="15">
      <c r="B25" s="61" t="str">
        <f>IF('1. Info'!$C$6="English",'Price List EN'!$A$19,IF('1. Info'!$C$6="Français",'Liste de Prix FR'!$A$19,"#Error"))</f>
        <v>Licences de Système d'Exploitation</v>
      </c>
      <c r="C25" s="61"/>
      <c r="D25" s="61"/>
      <c r="E25" s="61"/>
      <c r="F25" s="69"/>
      <c r="G25" s="64"/>
      <c r="H25" s="63"/>
    </row>
    <row r="26" spans="2:8" ht="35">
      <c r="B26" s="65" t="str">
        <f>IF('1. Info'!$C$6="English",'Price List EN'!$A$20,IF('1. Info'!$C$6="Français",'Liste de Prix FR'!$A$20,"#Error"))</f>
        <v>Licences systèmes d'exploitation</v>
      </c>
      <c r="C26" s="65" t="str">
        <f>IF('1. Info'!$C$6="English",(VLOOKUP(B26,'Price List EN'!A:AA,2,FALSE)),IF('1. Info'!$C$6="Français",(VLOOKUP(B26,'Liste de Prix FR'!A:S,2,FALSE)),"#Error"))</f>
        <v>Windows Server 2019 Datacenter, Windows Server 2016 Datacenter, Windows Server 2012 R2 Datacenter, Windows Server 2012 Datacenter, CentOS 8, CentOS 7, Ubuntu 18, Ubuntu 16</v>
      </c>
      <c r="D26" s="65" t="str">
        <f>IF('1. Info'!$C$6="English",(VLOOKUP(B26,'Price List EN'!A:AA,3,FALSE)),IF('1. Info'!$C$6="Français",(VLOOKUP(B26,'Liste de Prix FR'!A:S,3,FALSE)),"#Error"))</f>
        <v>Serveur virtuel</v>
      </c>
      <c r="E26" s="66" t="str">
        <f>IF('1. Info'!$C$6="English",IF('1. Info'!$C$8="USD",(VLOOKUP(B26,'Price List EN'!A:AA,4,FALSE)),IF('1. Info'!$C$8="CAD",(VLOOKUP(B26,'Price List EN'!A:AA,6,FALSE)),"#Error")),IF('1. Info'!$C$6="Français",IF('1. Info'!$C$8="USD",(VLOOKUP(B26,'Liste de Prix FR'!A:S,4,FALSE)),IF('1. Info'!$C$8="CAD",(VLOOKUP(B26,'Liste de Prix FR'!A:S,6,FALSE)),"#Error"))))</f>
        <v>INCLUS</v>
      </c>
      <c r="F26" s="67" t="str">
        <f>IF('1. Info'!$C$6="English",IF('1. Info'!$C$8="USD",(VLOOKUP(B26,'Price List EN'!A:AA,5,FALSE)),IF('1. Info'!$C$8="CAD",(VLOOKUP(B26,'Price List EN'!A:AA,7,FALSE)),"#Error")),IF('1. Info'!$C$6="Français",IF('1. Info'!$C$8="USD",(VLOOKUP(B26,'Liste de Prix FR'!A:S,5,FALSE)),IF('1. Info'!$C$8="CAD",(VLOOKUP(B26,'Liste de Prix FR'!A:S,7,FALSE)),"#Error"))))</f>
        <v>INCLUS</v>
      </c>
      <c r="G26" s="66" t="str">
        <f>IF('1. Info'!$C$6="English",IF('1. Info'!$C$8="USD",(VLOOKUP(B26,'Price List EN'!A:AA,8,FALSE)),IF('1. Info'!$C$8="CAD",(VLOOKUP(B26,'Price List EN'!A:AA,8,FALSE)),"#Error")),IF('1. Info'!$C$6="Français",IF('1. Info'!$C$8="USD",(VLOOKUP(B26,'Liste de Prix FR'!A:S,8,FALSE)),IF('1. Info'!$C$8="CAD",(VLOOKUP(B26,'Liste de Prix FR'!A:S,8,FALSE)),"#Error"))))</f>
        <v>N/A</v>
      </c>
      <c r="H26" s="66" t="str">
        <f>IF('1. Info'!$C$6="English",IF('1. Info'!$C$8="USD",(VLOOKUP(B26,'Price List EN'!A:AA,7,FALSE)),IF('1. Info'!$C$8="CAD",(VLOOKUP(B26,'Price List EN'!A:AA,7,FALSE)),"#Error")),IF('1. Info'!$C$6="Français",IF('1. Info'!$C$8="USD",(VLOOKUP(B26,'Liste de Prix FR'!A:S,7,FALSE)),IF('1. Info'!$C$8="CAD",(VLOOKUP(B26,'Liste de Prix FR'!A:S,7,FALSE)),"#Error"))))</f>
        <v>INCLUS</v>
      </c>
    </row>
    <row r="27" spans="2:8" ht="15">
      <c r="B27" s="61" t="str">
        <f>IF('1. Info'!$C$6="English",'Price List EN'!$A$21,IF('1. Info'!$C$6="Français",'Liste de Prix FR'!$A$21,"#Error"))</f>
        <v>Microsoft Services Bureau à Distance</v>
      </c>
      <c r="C27" s="61"/>
      <c r="D27" s="61"/>
      <c r="E27" s="61"/>
      <c r="F27" s="69"/>
      <c r="G27" s="64"/>
      <c r="H27" s="63"/>
    </row>
    <row r="28" spans="2:8" ht="15">
      <c r="B28" s="65" t="str">
        <f>IF('1. Info'!$C$6="English",'Price List EN'!$A$22,IF('1. Info'!$C$6="Français",'Liste de Prix FR'!$A$22,"#Error"))</f>
        <v>Windows Services Bureau à Distance SAL</v>
      </c>
      <c r="C28" s="65" t="str">
        <f>IF('1. Info'!$C$6="English",(VLOOKUP(B28,'Price List EN'!A:AA,2,FALSE)),IF('1. Info'!$C$6="Français",(VLOOKUP(B28,'Liste de Prix FR'!A:S,2,FALSE)),"#Error"))</f>
        <v>Licence</v>
      </c>
      <c r="D28" s="65" t="str">
        <f>IF('1. Info'!$C$6="English",(VLOOKUP(B28,'Price List EN'!A:AA,3,FALSE)),IF('1. Info'!$C$6="Français",(VLOOKUP(B28,'Liste de Prix FR'!A:S,3,FALSE)),"#Error"))</f>
        <v>Usager</v>
      </c>
      <c r="E28" s="66" t="str">
        <f>IF('1. Info'!$C$6="English",IF('1. Info'!$C$8="USD",(VLOOKUP(B28,'Price List EN'!A:AA,4,FALSE)),IF('1. Info'!$C$8="CAD",(VLOOKUP(B28,'Price List EN'!A:AA,6,FALSE)),"#Error")),IF('1. Info'!$C$6="Français",IF('1. Info'!$C$8="USD",(VLOOKUP(B28,'Liste de Prix FR'!A:S,4,FALSE)),IF('1. Info'!$C$8="CAD",(VLOOKUP(B28,'Liste de Prix FR'!A:S,6,FALSE)),"#Error"))))</f>
        <v>Mensuel</v>
      </c>
      <c r="F28" s="67">
        <f>IF('1. Info'!$C$6="English",IF('1. Info'!$C$8="USD",(VLOOKUP(B28,'Price List EN'!A:AA,5,FALSE)),IF('1. Info'!$C$8="CAD",(VLOOKUP(B28,'Price List EN'!A:AA,7,FALSE)),"#Error")),IF('1. Info'!$C$6="Français",IF('1. Info'!$C$8="USD",(VLOOKUP(B28,'Liste de Prix FR'!A:S,5,FALSE)),IF('1. Info'!$C$8="CAD",(VLOOKUP(B28,'Liste de Prix FR'!A:S,7,FALSE)),"#Error"))))</f>
        <v>13.15</v>
      </c>
      <c r="G28" s="68">
        <v>0</v>
      </c>
      <c r="H28" s="67">
        <f>F28*G28</f>
        <v>0</v>
      </c>
    </row>
    <row r="29" spans="2:8" ht="15">
      <c r="B29" s="61" t="str">
        <f>IF('1. Info'!$C$6="English",'Price List EN'!$A$23,IF('1. Info'!$C$6="Français",'Liste de Prix FR'!$A$23,"#Error"))</f>
        <v>Microsoft SQL Serveur</v>
      </c>
      <c r="C29" s="61"/>
      <c r="D29" s="61"/>
      <c r="E29" s="61"/>
      <c r="F29" s="69"/>
      <c r="G29" s="64"/>
      <c r="H29" s="63"/>
    </row>
    <row r="30" spans="2:8" ht="15">
      <c r="B30" s="65" t="str">
        <f>IF('1. Info'!$C$6="English",'Price List EN'!$A$24,IF('1. Info'!$C$6="Français",'Liste de Prix FR'!$A$24,"#Error"))</f>
        <v>MS SQL Serveur Express</v>
      </c>
      <c r="C30" s="65" t="str">
        <f>IF('1. Info'!$C$6="English",(VLOOKUP(B30,'Price List EN'!A:AA,2,FALSE)),IF('1. Info'!$C$6="Français",(VLOOKUP(B30,'Liste de Prix FR'!A:S,2,FALSE)),"#Error"))</f>
        <v>Téléchargement gratuit</v>
      </c>
      <c r="D30" s="65" t="str">
        <f>IF('1. Info'!$C$6="English",(VLOOKUP(B30,'Price List EN'!A:AA,3,FALSE)),IF('1. Info'!$C$6="Français",(VLOOKUP(B30,'Liste de Prix FR'!A:S,3,FALSE)),"#Error"))</f>
        <v>Application</v>
      </c>
      <c r="E30" s="66" t="str">
        <f>IF('1. Info'!$C$6="English",IF('1. Info'!$C$8="USD",(VLOOKUP(B30,'Price List EN'!A:AA,4,FALSE)),IF('1. Info'!$C$8="CAD",(VLOOKUP(B30,'Price List EN'!A:AA,6,FALSE)),"#Error")),IF('1. Info'!$C$6="Français",IF('1. Info'!$C$8="USD",(VLOOKUP(B30,'Liste de Prix FR'!A:S,4,FALSE)),IF('1. Info'!$C$8="CAD",(VLOOKUP(B30,'Liste de Prix FR'!A:S,6,FALSE)),"#Error"))))</f>
        <v>Mensuel</v>
      </c>
      <c r="F30" s="67">
        <f>IF('1. Info'!$C$6="English",IF('1. Info'!$C$8="USD",(VLOOKUP(B30,'Price List EN'!A:AA,5,FALSE)),IF('1. Info'!$C$8="CAD",(VLOOKUP(B30,'Price List EN'!A:AA,7,FALSE)),"#Error")),IF('1. Info'!$C$6="Français",IF('1. Info'!$C$8="USD",(VLOOKUP(B30,'Liste de Prix FR'!A:S,5,FALSE)),IF('1. Info'!$C$8="CAD",(VLOOKUP(B30,'Liste de Prix FR'!A:S,7,FALSE)),"#Error"))))</f>
        <v>0</v>
      </c>
      <c r="G30" s="68">
        <v>0</v>
      </c>
      <c r="H30" s="67">
        <f>F30*G30</f>
        <v>0</v>
      </c>
    </row>
    <row r="31" spans="2:8" ht="15">
      <c r="B31" s="65" t="str">
        <f>IF('1. Info'!$C$6="English",'Price List EN'!$A$25,IF('1. Info'!$C$6="Français",'Liste de Prix FR'!$A$25,"#Error"))</f>
        <v>MS SQL Serveur Web</v>
      </c>
      <c r="C31" s="65" t="str">
        <f>IF('1. Info'!$C$6="English",(VLOOKUP(B31,'Price List EN'!A:AA,2,FALSE)),IF('1. Info'!$C$6="Français",(VLOOKUP(B31,'Liste de Prix FR'!A:S,2,FALSE)),"#Error"))</f>
        <v>Licence pour 2 coeurs. Un minimum de 4 coeurs par serveur à couvrir.</v>
      </c>
      <c r="D31" s="65" t="str">
        <f>IF('1. Info'!$C$6="English",(VLOOKUP(B31,'Price List EN'!A:AA,3,FALSE)),IF('1. Info'!$C$6="Français",(VLOOKUP(B31,'Liste de Prix FR'!A:S,3,FALSE)),"#Error"))</f>
        <v>Licence (2 coeurs)</v>
      </c>
      <c r="E31" s="66" t="str">
        <f>IF('1. Info'!$C$6="English",IF('1. Info'!$C$8="USD",(VLOOKUP(B31,'Price List EN'!A:AA,4,FALSE)),IF('1. Info'!$C$8="CAD",(VLOOKUP(B31,'Price List EN'!A:AA,6,FALSE)),"#Error")),IF('1. Info'!$C$6="Français",IF('1. Info'!$C$8="USD",(VLOOKUP(B31,'Liste de Prix FR'!A:S,4,FALSE)),IF('1. Info'!$C$8="CAD",(VLOOKUP(B31,'Liste de Prix FR'!A:S,6,FALSE)),"#Error"))))</f>
        <v>Mensuel</v>
      </c>
      <c r="F31" s="67">
        <f>IF('1. Info'!$C$6="English",IF('1. Info'!$C$8="USD",(VLOOKUP(B31,'Price List EN'!A:AA,5,FALSE)),IF('1. Info'!$C$8="CAD",(VLOOKUP(B31,'Price List EN'!A:AA,7,FALSE)),"#Error")),IF('1. Info'!$C$6="Français",IF('1. Info'!$C$8="USD",(VLOOKUP(B31,'Liste de Prix FR'!A:S,5,FALSE)),IF('1. Info'!$C$8="CAD",(VLOOKUP(B31,'Liste de Prix FR'!A:S,7,FALSE)),"#Error"))))</f>
        <v>18.5</v>
      </c>
      <c r="G31" s="68">
        <v>0</v>
      </c>
      <c r="H31" s="67">
        <f>F31*G31</f>
        <v>0</v>
      </c>
    </row>
    <row r="32" spans="2:8" ht="15">
      <c r="B32" s="65" t="str">
        <f>IF('1. Info'!$C$6="English",'Price List EN'!$A$26,IF('1. Info'!$C$6="Français",'Liste de Prix FR'!$A$26,"#Error"))</f>
        <v>MS SQL Serveur Standard</v>
      </c>
      <c r="C32" s="65" t="str">
        <f>IF('1. Info'!$C$6="English",(VLOOKUP(B32,'Price List EN'!A:AA,2,FALSE)),IF('1. Info'!$C$6="Français",(VLOOKUP(B32,'Liste de Prix FR'!A:S,2,FALSE)),"#Error"))</f>
        <v>Licence pour 2 coeurs. Un minimum de 4 coeurs par serveur à couvrir.</v>
      </c>
      <c r="D32" s="65" t="str">
        <f>IF('1. Info'!$C$6="English",(VLOOKUP(B32,'Price List EN'!A:AA,3,FALSE)),IF('1. Info'!$C$6="Français",(VLOOKUP(B32,'Liste de Prix FR'!A:S,3,FALSE)),"#Error"))</f>
        <v>Licence (2 coeurs)</v>
      </c>
      <c r="E32" s="66" t="str">
        <f>IF('1. Info'!$C$6="English",IF('1. Info'!$C$8="USD",(VLOOKUP(B32,'Price List EN'!A:AA,4,FALSE)),IF('1. Info'!$C$8="CAD",(VLOOKUP(B32,'Price List EN'!A:AA,6,FALSE)),"#Error")),IF('1. Info'!$C$6="Français",IF('1. Info'!$C$8="USD",(VLOOKUP(B32,'Liste de Prix FR'!A:S,4,FALSE)),IF('1. Info'!$C$8="CAD",(VLOOKUP(B32,'Liste de Prix FR'!A:S,6,FALSE)),"#Error"))))</f>
        <v>Mensuel</v>
      </c>
      <c r="F32" s="67">
        <f>IF('1. Info'!$C$6="English",IF('1. Info'!$C$8="USD",(VLOOKUP(B32,'Price List EN'!A:AA,5,FALSE)),IF('1. Info'!$C$8="CAD",(VLOOKUP(B32,'Price List EN'!A:AA,7,FALSE)),"#Error")),IF('1. Info'!$C$6="Français",IF('1. Info'!$C$8="USD",(VLOOKUP(B32,'Liste de Prix FR'!A:S,5,FALSE)),IF('1. Info'!$C$8="CAD",(VLOOKUP(B32,'Liste de Prix FR'!A:S,7,FALSE)),"#Error"))))</f>
        <v>250</v>
      </c>
      <c r="G32" s="68">
        <v>0</v>
      </c>
      <c r="H32" s="67">
        <f>F32*G32</f>
        <v>0</v>
      </c>
    </row>
    <row r="33" spans="2:8" ht="15">
      <c r="B33" s="65" t="str">
        <f>IF('1. Info'!$C$6="English",'Price List EN'!$A$27,IF('1. Info'!$C$6="Français",'Liste de Prix FR'!$A$27,"#Error"))</f>
        <v>MS SQL Serveur Entreprise</v>
      </c>
      <c r="C33" s="65" t="str">
        <f>IF('1. Info'!$C$6="English",(VLOOKUP(B33,'Price List EN'!A:AA,2,FALSE)),IF('1. Info'!$C$6="Français",(VLOOKUP(B33,'Liste de Prix FR'!A:S,2,FALSE)),"#Error"))</f>
        <v>Licence pour 2 coeurs. Un minimum de 4 coeurs par serveur à couvrir.</v>
      </c>
      <c r="D33" s="65" t="str">
        <f>IF('1. Info'!$C$6="English",(VLOOKUP(B33,'Price List EN'!A:AA,3,FALSE)),IF('1. Info'!$C$6="Français",(VLOOKUP(B33,'Liste de Prix FR'!A:S,3,FALSE)),"#Error"))</f>
        <v>Licence (2 coeurs)</v>
      </c>
      <c r="E33" s="66" t="str">
        <f>IF('1. Info'!$C$6="English",IF('1. Info'!$C$8="USD",(VLOOKUP(B33,'Price List EN'!A:AA,4,FALSE)),IF('1. Info'!$C$8="CAD",(VLOOKUP(B33,'Price List EN'!A:AA,6,FALSE)),"#Error")),IF('1. Info'!$C$6="Français",IF('1. Info'!$C$8="USD",(VLOOKUP(B33,'Liste de Prix FR'!A:S,4,FALSE)),IF('1. Info'!$C$8="CAD",(VLOOKUP(B33,'Liste de Prix FR'!A:S,6,FALSE)),"#Error"))))</f>
        <v>Mensuel</v>
      </c>
      <c r="F33" s="67">
        <f>IF('1. Info'!$C$6="English",IF('1. Info'!$C$8="USD",(VLOOKUP(B33,'Price List EN'!A:AA,5,FALSE)),IF('1. Info'!$C$8="CAD",(VLOOKUP(B33,'Price List EN'!A:AA,7,FALSE)),"#Error")),IF('1. Info'!$C$6="Français",IF('1. Info'!$C$8="USD",(VLOOKUP(B33,'Liste de Prix FR'!A:S,5,FALSE)),IF('1. Info'!$C$8="CAD",(VLOOKUP(B33,'Liste de Prix FR'!A:S,7,FALSE)),"#Error"))))</f>
        <v>950</v>
      </c>
      <c r="G33" s="68">
        <v>0</v>
      </c>
      <c r="H33" s="67">
        <f>F33*G33</f>
        <v>0</v>
      </c>
    </row>
    <row r="34" spans="2:8" ht="7.5" customHeight="1" hidden="1">
      <c r="B34" s="65"/>
      <c r="C34" s="65"/>
      <c r="D34" s="65"/>
      <c r="E34" s="66"/>
      <c r="F34" s="67"/>
      <c r="G34" s="70"/>
      <c r="H34" s="67"/>
    </row>
    <row r="35" spans="2:8" s="60" customFormat="1" ht="15" hidden="1">
      <c r="B35" s="174" t="str">
        <f>IF('1. Info'!C6="English",IF('1. Info'!C12="Partner","Partner Services",IF('1. Info'!C12="Direct","Customer Services","N/A")),IF('1. Info'!C6="Français",IF('1. Info'!C12="Partenaire","Services partenaires",IF('1. Info'!C12="Vente_Directe","Services clients","N/A")),"N/A"))</f>
        <v>Services clients</v>
      </c>
      <c r="C35" s="174"/>
      <c r="D35" s="174"/>
      <c r="E35" s="174"/>
      <c r="F35" s="174"/>
      <c r="G35" s="174"/>
      <c r="H35" s="174"/>
    </row>
    <row r="36" spans="2:8" ht="15" hidden="1">
      <c r="B36" s="61" t="str">
        <f>IF('1. Info'!$C$6="English",'Price List EN'!$A$28,IF('1. Info'!$C$6="Français",'Liste de Prix FR'!$A$28,"#Error"))</f>
        <v>Gestion</v>
      </c>
      <c r="C36" s="61"/>
      <c r="D36" s="61"/>
      <c r="E36" s="62"/>
      <c r="F36" s="63"/>
      <c r="G36" s="64"/>
      <c r="H36" s="63"/>
    </row>
    <row r="37" spans="2:8" ht="15" hidden="1">
      <c r="B37" s="65" t="str">
        <f>IF('1. Info'!$C$6="English",'Price List EN'!$A$29,IF('1. Info'!$C$6="Français",'Liste de Prix FR'!$A$29,"#Error"))</f>
        <v>NOC Essentiel</v>
      </c>
      <c r="C37" s="65" t="str">
        <f>IF('1. Info'!$C$6="English",(VLOOKUP(B37,'Price List EN'!A:AA,2,FALSE)),IF('1. Info'!$C$6="Français",(VLOOKUP(B37,'Liste de Prix FR'!A:S,2,FALSE)),"#Error"))</f>
        <v>Centre d'exploitation du réseau (NOC) pour partenaires - Plan essentiel</v>
      </c>
      <c r="D37" s="65" t="str">
        <f>IF('1. Info'!$C$6="English",(VLOOKUP(B37,'Price List EN'!A:AA,3,FALSE)),IF('1. Info'!$C$6="Français",(VLOOKUP(B37,'Liste de Prix FR'!A:S,3,FALSE)),"#Error"))</f>
        <v>Virtual Server</v>
      </c>
      <c r="E37" s="66" t="str">
        <f>IF('1. Info'!$C$6="English",IF('1. Info'!$C$8="USD",(VLOOKUP(B37,'Price List EN'!A:AA,4,FALSE)),IF('1. Info'!$C$8="CAD",(VLOOKUP(B37,'Price List EN'!A:AA,6,FALSE)),"#Error")),IF('1. Info'!$C$6="Français",IF('1. Info'!$C$8="USD",(VLOOKUP(B37,'Liste de Prix FR'!A:S,4,FALSE)),IF('1. Info'!$C$8="CAD",(VLOOKUP(B37,'Liste de Prix FR'!A:S,6,FALSE)),"#Error"))))</f>
        <v>Mensuel</v>
      </c>
      <c r="F37" s="67">
        <f>IF('1. Info'!$C$6="English",IF('1. Info'!$C$8="USD",(VLOOKUP(B37,'Price List EN'!A:AA,5,FALSE)),IF('1. Info'!$C$8="CAD",(VLOOKUP(B37,'Price List EN'!A:AA,7,FALSE)),"#Error")),IF('1. Info'!$C$6="Français",IF('1. Info'!$C$8="USD",(VLOOKUP(B37,'Liste de Prix FR'!A:S,5,FALSE)),IF('1. Info'!$C$8="CAD",(VLOOKUP(B37,'Liste de Prix FR'!A:S,7,FALSE)),"#Error"))))</f>
        <v>30</v>
      </c>
      <c r="G37" s="68">
        <f>IF(OR('2. VM'!$Q$23="NOC Essentials",'2. VM'!$Q$23="NOC Essentiel"),'2. VM'!Q19,0)</f>
        <v>0</v>
      </c>
      <c r="H37" s="67">
        <f aca="true" t="shared" si="1" ref="H37:H40">F37*G37</f>
        <v>0</v>
      </c>
    </row>
    <row r="38" spans="2:8" ht="15" hidden="1">
      <c r="B38" s="65" t="str">
        <f>IF('1. Info'!$C$6="English",'Price List EN'!$A$30,IF('1. Info'!$C$6="Français",'Liste de Prix FR'!$A$30,"#Error"))</f>
        <v>NOC Pro</v>
      </c>
      <c r="C38" s="65" t="str">
        <f>IF('1. Info'!$C$6="English",(VLOOKUP(B38,'Price List EN'!A:AA,2,FALSE)),IF('1. Info'!$C$6="Français",(VLOOKUP(B38,'Liste de Prix FR'!A:S,2,FALSE)),"#Error"))</f>
        <v>Centre d'exploitation du réseau (NOC) pour partenaires - Plan pro</v>
      </c>
      <c r="D38" s="65" t="str">
        <f>IF('1. Info'!$C$6="English",(VLOOKUP(B38,'Price List EN'!A:AA,3,FALSE)),IF('1. Info'!$C$6="Français",(VLOOKUP(B38,'Liste de Prix FR'!A:S,3,FALSE)),"#Error"))</f>
        <v>Virtual Server</v>
      </c>
      <c r="E38" s="66" t="str">
        <f>IF('1. Info'!$C$6="English",IF('1. Info'!$C$8="USD",(VLOOKUP(B38,'Price List EN'!A:AA,4,FALSE)),IF('1. Info'!$C$8="CAD",(VLOOKUP(B38,'Price List EN'!A:AA,6,FALSE)),"#Error")),IF('1. Info'!$C$6="Français",IF('1. Info'!$C$8="USD",(VLOOKUP(B38,'Liste de Prix FR'!A:S,4,FALSE)),IF('1. Info'!$C$8="CAD",(VLOOKUP(B38,'Liste de Prix FR'!A:S,6,FALSE)),"#Error"))))</f>
        <v>Mensuel</v>
      </c>
      <c r="F38" s="67">
        <f>IF('1. Info'!$C$6="English",IF('1. Info'!$C$8="USD",(VLOOKUP(B38,'Price List EN'!A:AA,5,FALSE)),IF('1. Info'!$C$8="CAD",(VLOOKUP(B38,'Price List EN'!A:AA,7,FALSE)),"#Error")),IF('1. Info'!$C$6="Français",IF('1. Info'!$C$8="USD",(VLOOKUP(B38,'Liste de Prix FR'!A:S,5,FALSE)),IF('1. Info'!$C$8="CAD",(VLOOKUP(B38,'Liste de Prix FR'!A:S,7,FALSE)),"#Error"))))</f>
        <v>115</v>
      </c>
      <c r="G38" s="68">
        <f>IF(OR('2. VM'!$Q$23="NOC Pro",'2. VM'!$Q$23="NOC Pro"),'2. VM'!Q19,0)</f>
        <v>0</v>
      </c>
      <c r="H38" s="67">
        <f t="shared" si="1"/>
        <v>0</v>
      </c>
    </row>
    <row r="39" spans="2:8" ht="15" hidden="1">
      <c r="B39" s="65" t="str">
        <f>IF('1. Info'!$C$6="English",'Price List EN'!$A$31,IF('1. Info'!$C$6="Français",'Liste de Prix FR'!$A$31,"#Error"))</f>
        <v>NOC Supérieur</v>
      </c>
      <c r="C39" s="65" t="str">
        <f>IF('1. Info'!$C$6="English",(VLOOKUP(B39,'Price List EN'!A:AA,2,FALSE)),IF('1. Info'!$C$6="Français",(VLOOKUP(B39,'Liste de Prix FR'!A:S,2,FALSE)),"#Error"))</f>
        <v>Centre d'exploitation du réseau (NOC) pour partenaires - Plan VIP</v>
      </c>
      <c r="D39" s="65" t="str">
        <f>IF('1. Info'!$C$6="English",(VLOOKUP(B39,'Price List EN'!A:AA,3,FALSE)),IF('1. Info'!$C$6="Français",(VLOOKUP(B39,'Liste de Prix FR'!A:S,3,FALSE)),"#Error"))</f>
        <v>Virtual Server</v>
      </c>
      <c r="E39" s="66" t="str">
        <f>IF('1. Info'!$C$6="English",IF('1. Info'!$C$8="USD",(VLOOKUP(B39,'Price List EN'!A:AA,4,FALSE)),IF('1. Info'!$C$8="CAD",(VLOOKUP(B39,'Price List EN'!A:AA,6,FALSE)),"#Error")),IF('1. Info'!$C$6="Français",IF('1. Info'!$C$8="USD",(VLOOKUP(B39,'Liste de Prix FR'!A:S,4,FALSE)),IF('1. Info'!$C$8="CAD",(VLOOKUP(B39,'Liste de Prix FR'!A:S,6,FALSE)),"#Error"))))</f>
        <v>Mensuel</v>
      </c>
      <c r="F39" s="67">
        <f>IF('1. Info'!$C$6="English",IF('1. Info'!$C$8="USD",(VLOOKUP(B39,'Price List EN'!A:AA,5,FALSE)),IF('1. Info'!$C$8="CAD",(VLOOKUP(B39,'Price List EN'!A:AA,7,FALSE)),"#Error")),IF('1. Info'!$C$6="Français",IF('1. Info'!$C$8="USD",(VLOOKUP(B39,'Liste de Prix FR'!A:S,5,FALSE)),IF('1. Info'!$C$8="CAD",(VLOOKUP(B39,'Liste de Prix FR'!A:S,7,FALSE)),"#Error"))))</f>
        <v>250</v>
      </c>
      <c r="G39" s="68">
        <f>IF(OR('2. VM'!$Q$23="NOC VIP",'2. VM'!$Q$23="NOC Supérieur"),'2. VM'!Q19,0)</f>
        <v>0</v>
      </c>
      <c r="H39" s="67">
        <f t="shared" si="1"/>
        <v>0</v>
      </c>
    </row>
    <row r="40" spans="2:8" ht="15" hidden="1">
      <c r="B40" s="65" t="str">
        <f>IF('1. Info'!$C$6="English",'Price List EN'!$A$32,IF('1. Info'!$C$6="Français",'Liste de Prix FR'!$A$32,"#Error"))</f>
        <v>Cloud Géré Pro</v>
      </c>
      <c r="C40" s="65" t="str">
        <f>IF('1. Info'!$C$6="English",(VLOOKUP(B40,'Price List EN'!A:AA,2,FALSE)),IF('1. Info'!$C$6="Français",(VLOOKUP(B40,'Liste de Prix FR'!A:S,2,FALSE)),"#Error"))</f>
        <v>Centre d'exploitation du réseau (NOC) pour clients directs - Plan pro</v>
      </c>
      <c r="D40" s="65" t="str">
        <f>IF('1. Info'!$C$6="English",(VLOOKUP(B40,'Price List EN'!A:AA,3,FALSE)),IF('1. Info'!$C$6="Français",(VLOOKUP(B40,'Liste de Prix FR'!A:S,3,FALSE)),"#Error"))</f>
        <v>Virtual Server</v>
      </c>
      <c r="E40" s="66" t="str">
        <f>IF('1. Info'!$C$6="English",IF('1. Info'!$C$8="USD",(VLOOKUP(B40,'Price List EN'!A:AA,4,FALSE)),IF('1. Info'!$C$8="CAD",(VLOOKUP(B40,'Price List EN'!A:AA,6,FALSE)),"#Error")),IF('1. Info'!$C$6="Français",IF('1. Info'!$C$8="USD",(VLOOKUP(B40,'Liste de Prix FR'!A:S,4,FALSE)),IF('1. Info'!$C$8="CAD",(VLOOKUP(B40,'Liste de Prix FR'!A:S,6,FALSE)),"#Error"))))</f>
        <v>Mensuel</v>
      </c>
      <c r="F40" s="67">
        <f>IF('1. Info'!$C$6="English",IF('1. Info'!$C$8="USD",(VLOOKUP(B40,'Price List EN'!A:AA,5,FALSE)),IF('1. Info'!$C$8="CAD",(VLOOKUP(B40,'Price List EN'!A:AA,7,FALSE)),"#Error")),IF('1. Info'!$C$6="Français",IF('1. Info'!$C$8="USD",(VLOOKUP(B40,'Liste de Prix FR'!A:S,5,FALSE)),IF('1. Info'!$C$8="CAD",(VLOOKUP(B40,'Liste de Prix FR'!A:S,7,FALSE)),"#Error"))))</f>
        <v>148</v>
      </c>
      <c r="G40" s="68">
        <f>IF(OR('2. VM'!$Q$23="Managed Cloud Pro",'2. VM'!$Q$23="Cloud Géré Pro"),'2. VM'!Q19,0)</f>
        <v>0</v>
      </c>
      <c r="H40" s="67">
        <f t="shared" si="1"/>
        <v>0</v>
      </c>
    </row>
    <row r="41" spans="2:8" ht="15" hidden="1">
      <c r="B41" s="65" t="str">
        <f>IF('1. Info'!$C$6="English",'Price List EN'!$A$33,IF('1. Info'!$C$6="Français",'Liste de Prix FR'!$A$33,"#Error"))</f>
        <v>Cloud Géré Supérieur</v>
      </c>
      <c r="C41" s="65" t="str">
        <f>IF('1. Info'!$C$6="English",(VLOOKUP(B41,'Price List EN'!A:AA,2,FALSE)),IF('1. Info'!$C$6="Français",(VLOOKUP(B41,'Liste de Prix FR'!A:S,2,FALSE)),"#Error"))</f>
        <v>Centre d'exploitation du réseau (NOC) pour clients directs - Plan VIP</v>
      </c>
      <c r="D41" s="65" t="str">
        <f>IF('1. Info'!$C$6="English",(VLOOKUP(B41,'Price List EN'!A:AA,3,FALSE)),IF('1. Info'!$C$6="Français",(VLOOKUP(B41,'Liste de Prix FR'!A:S,3,FALSE)),"#Error"))</f>
        <v>Virtual Server</v>
      </c>
      <c r="E41" s="66" t="str">
        <f>IF('1. Info'!$C$6="English",IF('1. Info'!$C$8="USD",(VLOOKUP(B41,'Price List EN'!A:AA,4,FALSE)),IF('1. Info'!$C$8="CAD",(VLOOKUP(B41,'Price List EN'!A:AA,6,FALSE)),"#Error")),IF('1. Info'!$C$6="Français",IF('1. Info'!$C$8="USD",(VLOOKUP(B41,'Liste de Prix FR'!A:S,4,FALSE)),IF('1. Info'!$C$8="CAD",(VLOOKUP(B41,'Liste de Prix FR'!A:S,6,FALSE)),"#Error"))))</f>
        <v>Mensuel</v>
      </c>
      <c r="F41" s="67">
        <f>IF('1. Info'!$C$6="English",IF('1. Info'!$C$8="USD",(VLOOKUP(B41,'Price List EN'!A:AA,5,FALSE)),IF('1. Info'!$C$8="CAD",(VLOOKUP(B41,'Price List EN'!A:AA,7,FALSE)),"#Error")),IF('1. Info'!$C$6="Français",IF('1. Info'!$C$8="USD",(VLOOKUP(B41,'Liste de Prix FR'!A:S,5,FALSE)),IF('1. Info'!$C$8="CAD",(VLOOKUP(B41,'Liste de Prix FR'!A:S,7,FALSE)),"#Error"))))</f>
        <v>250</v>
      </c>
      <c r="G41" s="68">
        <f>IF(OR('2. VM'!$Q$23="Managed Cloud VIP",'2. VM'!$Q$23="Cloud Géré Supérieur"),'2. VM'!Q19,0)</f>
        <v>0</v>
      </c>
      <c r="H41" s="67">
        <f>F41*G41</f>
        <v>0</v>
      </c>
    </row>
    <row r="42" spans="2:8" ht="15" hidden="1">
      <c r="B42" s="61" t="str">
        <f>IF('1. Info'!$C$6="English",'Price List EN'!$A$34,IF('1. Info'!$C$6="Français",'Liste de Prix FR'!$A$34,"#Error"))</f>
        <v>Services professionnels</v>
      </c>
      <c r="C42" s="61"/>
      <c r="D42" s="61"/>
      <c r="E42" s="61"/>
      <c r="F42" s="69"/>
      <c r="G42" s="64"/>
      <c r="H42" s="71" t="str">
        <f>IF('1. Info'!$C$6="English","One-Time Fee",IF('1. Info'!$C$6="Français","Frais Unique","#Error"))</f>
        <v>Frais Unique</v>
      </c>
    </row>
    <row r="43" spans="2:8" ht="23.5" hidden="1">
      <c r="B43" s="65" t="str">
        <f>IF('1. Info'!$C$6="English",'Price List EN'!$A$35,IF('1. Info'!$C$6="Français",'Liste de Prix FR'!$A$35,"#Error"))</f>
        <v>Frais d'installation (inclus)</v>
      </c>
      <c r="C43" s="72"/>
      <c r="D43" s="65" t="str">
        <f>IF('1. Info'!$C$6="English",(VLOOKUP(B43,'Price List EN'!A:AA,3,FALSE)),IF('1. Info'!$C$6="Français",(VLOOKUP(B43,'Liste de Prix FR'!A:S,3,FALSE)),"#Error"))</f>
        <v>Par heure</v>
      </c>
      <c r="E43" s="66" t="str">
        <f>IF('1. Info'!$C$6="English",IF('1. Info'!$C$8="USD",(VLOOKUP(B43,'Price List EN'!A:AA,4,FALSE)),IF('1. Info'!$C$8="CAD",(VLOOKUP(B43,'Price List EN'!A:AA,6,FALSE)),"#Error")),IF('1. Info'!$C$6="Français",IF('1. Info'!$C$8="USD",(VLOOKUP(B43,'Liste de Prix FR'!A:S,4,FALSE)),IF('1. Info'!$C$8="CAD",(VLOOKUP(B43,'Liste de Prix FR'!A:S,6,FALSE)),"#Error"))))</f>
        <v>Frais d'installation</v>
      </c>
      <c r="F43" s="67">
        <f>IF('1. Info'!$C$6="English",IF('1. Info'!$C$8="USD",(VLOOKUP(B43,'Price List EN'!A:AA,5,FALSE)),IF('1. Info'!$C$8="CAD",(VLOOKUP(B43,'Price List EN'!A:AA,7,FALSE)),"#Error")),IF('1. Info'!$C$6="Français",IF('1. Info'!$C$8="USD",(VLOOKUP(B43,'Liste de Prix FR'!A:S,5,FALSE)),IF('1. Info'!$C$8="CAD",(VLOOKUP(B43,'Liste de Prix FR'!A:S,7,FALSE)),"#Error"))))</f>
        <v>150</v>
      </c>
      <c r="G43" s="68">
        <v>0</v>
      </c>
      <c r="H43" s="67">
        <v>0</v>
      </c>
    </row>
    <row r="44" spans="2:8" ht="23.5" hidden="1">
      <c r="B44" s="65" t="str">
        <f>IF('1. Info'!$C$6="English",'Price List EN'!$A$36,IF('1. Info'!$C$6="Français",'Liste de Prix FR'!$A$36,"#Error"))</f>
        <v>Frais d'installation (facturable)</v>
      </c>
      <c r="C44" s="72"/>
      <c r="D44" s="65" t="str">
        <f>IF('1. Info'!$C$6="English",(VLOOKUP(B44,'Price List EN'!A:AA,3,FALSE)),IF('1. Info'!$C$6="Français",(VLOOKUP(B44,'Liste de Prix FR'!A:S,3,FALSE)),"#Error"))</f>
        <v>Par heure</v>
      </c>
      <c r="E44" s="66" t="str">
        <f>IF('1. Info'!$C$6="English",IF('1. Info'!$C$8="USD",(VLOOKUP(B44,'Price List EN'!A:AA,4,FALSE)),IF('1. Info'!$C$8="CAD",(VLOOKUP(B44,'Price List EN'!A:AA,6,FALSE)),"#Error")),IF('1. Info'!$C$6="Français",IF('1. Info'!$C$8="USD",(VLOOKUP(B44,'Liste de Prix FR'!A:S,4,FALSE)),IF('1. Info'!$C$8="CAD",(VLOOKUP(B44,'Liste de Prix FR'!A:S,6,FALSE)),"#Error"))))</f>
        <v>Frais d'installation</v>
      </c>
      <c r="F44" s="67">
        <f>IF('1. Info'!$C$6="English",IF('1. Info'!$C$8="USD",(VLOOKUP(B44,'Price List EN'!A:AA,5,FALSE)),IF('1. Info'!$C$8="CAD",(VLOOKUP(B44,'Price List EN'!A:AA,7,FALSE)),"#Error")),IF('1. Info'!$C$6="Français",IF('1. Info'!$C$8="USD",(VLOOKUP(B44,'Liste de Prix FR'!A:S,5,FALSE)),IF('1. Info'!$C$8="CAD",(VLOOKUP(B44,'Liste de Prix FR'!A:S,7,FALSE)),"#Error"))))</f>
        <v>150</v>
      </c>
      <c r="G44" s="68">
        <v>0</v>
      </c>
      <c r="H44" s="67">
        <f>F44*G44</f>
        <v>0</v>
      </c>
    </row>
    <row r="45" spans="2:8" ht="14.5" thickBot="1">
      <c r="B45" s="171"/>
      <c r="C45" s="171"/>
      <c r="D45" s="171"/>
      <c r="E45" s="171"/>
      <c r="F45" s="171"/>
      <c r="G45" s="171"/>
      <c r="H45" s="171"/>
    </row>
    <row r="46" spans="2:8" ht="18.5" thickBot="1">
      <c r="B46" s="169" t="str">
        <f>IF('1. Info'!$C$6="English",IF(OR('1. Info'!$C$10="Montreal (CAN)",'1. Info'!$C$10="Quebec (CAN)"),"ESTIMATED MONTHLY TOTAL","MONTHLY TOTAL"),IF('1. Info'!$C$6="Français",IF('1. Info'!$C$10="Montréal (CAN)","TOTAL MENSUEL ESTIMÉ","TOTAL MENSUEL"),"#Error"))</f>
        <v>TOTAL MENSUEL</v>
      </c>
      <c r="C46" s="169"/>
      <c r="D46" s="169"/>
      <c r="E46" s="169"/>
      <c r="F46" s="169"/>
      <c r="G46" s="167">
        <f>SUM(H6:H22)+SUM(H25:H33)+SUM(H36:H41)</f>
        <v>437.12399999999997</v>
      </c>
      <c r="H46" s="168"/>
    </row>
    <row r="47" spans="2:9" ht="18.5" thickBot="1">
      <c r="B47" s="169" t="str">
        <f>IF('1. Info'!$C$6="English",IF(OR('1. Info'!$C$10="Montreal (CAN)",'1. Info'!$C$10="Quebec (CAN)"),"ESTIMATED MONTHLY TOTAL AFTER DISCOUNT","MONTHLY TOTAL AFTER DISCOUNT"),IF('1. Info'!$C$6="Français",IF('1. Info'!$C$10="Montréal (CAN)","TOTAL MENSUEL ESTIMÉ APRÈS ESCOMPTE","TOTAL MENSUEL APRÈS ESCOMPTE"),"#Error"))</f>
        <v>TOTAL MENSUEL APRÈS ESCOMPTE</v>
      </c>
      <c r="C47" s="169"/>
      <c r="D47" s="169"/>
      <c r="E47" s="169"/>
      <c r="F47" s="169"/>
      <c r="G47" s="170">
        <f>$G$46*(1-'1. Info'!$C$14)</f>
        <v>437.12399999999997</v>
      </c>
      <c r="H47" s="170"/>
      <c r="I47" s="73"/>
    </row>
    <row r="48" spans="2:8" ht="18" hidden="1">
      <c r="B48" s="169" t="str">
        <f>IF('1. Info'!$C$6="English","SETUP FEE",IF('1. Info'!$C$6="Français","FRAIS D'INSTALLATION","#Error"))</f>
        <v>FRAIS D'INSTALLATION</v>
      </c>
      <c r="C48" s="169"/>
      <c r="D48" s="169"/>
      <c r="E48" s="169"/>
      <c r="F48" s="169"/>
      <c r="G48" s="172">
        <f>SUM(H43:H44)</f>
        <v>0</v>
      </c>
      <c r="H48" s="172"/>
    </row>
  </sheetData>
  <sheetProtection algorithmName="SHA-512" hashValue="xRsiV/skCHkxQOsdbc9Lqaw9ja0KpuKrdbEdqK6bipFVbf6aLFA8oP8dioFHabrmxPu53Sjgd7auSssiE/TgjQ==" saltValue="awzSqTKq9xDrUHuz7tuVfQ==" spinCount="100000" sheet="1" formatCells="0" formatRows="0" insertColumns="0" insertRows="0" deleteRows="0"/>
  <mergeCells count="12">
    <mergeCell ref="B48:F48"/>
    <mergeCell ref="G48:H48"/>
    <mergeCell ref="B19:C19"/>
    <mergeCell ref="B5:H5"/>
    <mergeCell ref="B24:H24"/>
    <mergeCell ref="B35:H35"/>
    <mergeCell ref="B3:H3"/>
    <mergeCell ref="G46:H46"/>
    <mergeCell ref="B46:F46"/>
    <mergeCell ref="B47:F47"/>
    <mergeCell ref="G47:H47"/>
    <mergeCell ref="B45:H45"/>
  </mergeCells>
  <conditionalFormatting sqref="G46:H46">
    <cfRule type="expression" priority="15" dxfId="1">
      <formula>'1. Info'!$C$8="USD"</formula>
    </cfRule>
    <cfRule type="expression" priority="16" dxfId="0">
      <formula>'1. Info'!$C$8="CAD"</formula>
    </cfRule>
  </conditionalFormatting>
  <conditionalFormatting sqref="G47:H47">
    <cfRule type="expression" priority="7" dxfId="1">
      <formula>'1. Info'!$C$8="USD"</formula>
    </cfRule>
    <cfRule type="expression" priority="8" dxfId="0">
      <formula>'1. Info'!$C$8="CAD"</formula>
    </cfRule>
  </conditionalFormatting>
  <conditionalFormatting sqref="G48:H48">
    <cfRule type="expression" priority="1" dxfId="1">
      <formula>'1. Info'!$C$8="USD"</formula>
    </cfRule>
    <cfRule type="expression" priority="2" dxfId="0">
      <formula>'1. Info'!$C$8="CAD"</formula>
    </cfRule>
  </conditionalFormatting>
  <dataValidations count="3">
    <dataValidation type="decimal" operator="greaterThanOrEqual" allowBlank="1" showInputMessage="1" showErrorMessage="1" error="Please enter a valid number / Veuillez entrer un nombre valide" sqref="G6 G36:G44 G27:G30 G25 G8:G23">
      <formula1>0</formula1>
    </dataValidation>
    <dataValidation operator="greaterThanOrEqual" allowBlank="1" showInputMessage="1" showErrorMessage="1" error="Please enter a valid number / Veuillez entrer un nombre valide" sqref="G26 G7"/>
    <dataValidation type="decimal" operator="equal" allowBlank="1" showInputMessage="1" showErrorMessage="1" error="A minimum of 2 licenses per SQL server is required / Un minimum de 2 licences par serveur SQL est requis" sqref="G31:G34">
      <formula1>IF(OR(G31&lt;0,G31=1),0,G31)</formula1>
    </dataValidation>
  </dataValidations>
  <printOptions/>
  <pageMargins left="0.7" right="0.7" top="0.75" bottom="0.75" header="0.3" footer="0.3"/>
  <pageSetup fitToHeight="1" fitToWidth="1" horizontalDpi="600" verticalDpi="600" orientation="landscape" scale="64" r:id="rId2"/>
  <drawing r:id="rId1"/>
  <extLst>
    <ext xmlns:x14="http://schemas.microsoft.com/office/spreadsheetml/2009/9/main" uri="{78C0D931-6437-407d-A8EE-F0AAD7539E65}">
      <x14:conditionalFormattings>
        <x14:conditionalFormatting xmlns:xm="http://schemas.microsoft.com/office/excel/2006/main">
          <x14:cfRule type="expression" priority="15">
            <xm:f>'1. Info'!$C$8="USD"</xm:f>
            <x14:dxf/>
          </x14:cfRule>
          <x14:cfRule type="expression" priority="16">
            <xm:f>'1. Info'!$C$8="CAD"</xm:f>
            <x14:dxf/>
          </x14:cfRule>
          <xm:sqref>G46:H46</xm:sqref>
        </x14:conditionalFormatting>
        <x14:conditionalFormatting xmlns:xm="http://schemas.microsoft.com/office/excel/2006/main">
          <x14:cfRule type="expression" priority="7">
            <xm:f>'1. Info'!$C$8="USD"</xm:f>
            <x14:dxf/>
          </x14:cfRule>
          <x14:cfRule type="expression" priority="8">
            <xm:f>'1. Info'!$C$8="CAD"</xm:f>
            <x14:dxf/>
          </x14:cfRule>
          <xm:sqref>G47:H47</xm:sqref>
        </x14:conditionalFormatting>
        <x14:conditionalFormatting xmlns:xm="http://schemas.microsoft.com/office/excel/2006/main">
          <x14:cfRule type="expression" priority="1">
            <xm:f>'1. Info'!$C$8="USD"</xm:f>
            <x14:dxf/>
          </x14:cfRule>
          <x14:cfRule type="expression" priority="2">
            <xm:f>'1. Info'!$C$8="CAD"</xm:f>
            <x14:dxf/>
          </x14:cfRule>
          <xm:sqref>G48:H48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26542-E361-4B09-9FA0-967381CEA03A}">
  <sheetPr>
    <tabColor rgb="FF00B050"/>
    <pageSetUpPr fitToPage="1"/>
  </sheetPr>
  <dimension ref="B2:H39"/>
  <sheetViews>
    <sheetView showGridLines="0" showRowColHeaders="0" workbookViewId="0" topLeftCell="A1">
      <pane ySplit="3" topLeftCell="A4" activePane="bottomLeft" state="frozen"/>
      <selection pane="bottomLeft" activeCell="B3" sqref="B3:H3"/>
    </sheetView>
  </sheetViews>
  <sheetFormatPr defaultColWidth="9.140625" defaultRowHeight="15"/>
  <cols>
    <col min="1" max="1" width="3.28125" style="46" customWidth="1"/>
    <col min="2" max="2" width="39.8515625" style="46" customWidth="1"/>
    <col min="3" max="3" width="68.00390625" style="46" customWidth="1"/>
    <col min="4" max="4" width="19.7109375" style="46" customWidth="1"/>
    <col min="5" max="5" width="15.7109375" style="128" customWidth="1"/>
    <col min="6" max="6" width="14.7109375" style="133" customWidth="1"/>
    <col min="7" max="7" width="7.8515625" style="49" bestFit="1" customWidth="1"/>
    <col min="8" max="8" width="16.57421875" style="133" customWidth="1"/>
    <col min="9" max="9" width="3.28125" style="46" customWidth="1"/>
    <col min="10" max="16384" width="9.140625" style="46" customWidth="1"/>
  </cols>
  <sheetData>
    <row r="1" ht="40.15" customHeight="1"/>
    <row r="2" spans="2:8" s="90" customFormat="1" ht="28.9" customHeight="1">
      <c r="B2" s="50" t="str">
        <f>IF('1. Info'!$C$6="English","Solution Description",IF('1. Info'!$C$6="Français","Description de la Solution","#Error"))</f>
        <v>Description de la Solution</v>
      </c>
      <c r="C2" s="91"/>
      <c r="D2" s="92"/>
      <c r="E2" s="129"/>
      <c r="F2" s="134"/>
      <c r="G2" s="93"/>
      <c r="H2" s="134"/>
    </row>
    <row r="3" spans="2:8" ht="52.5" customHeight="1">
      <c r="B3" s="166" t="s">
        <v>10</v>
      </c>
      <c r="C3" s="166"/>
      <c r="D3" s="166"/>
      <c r="E3" s="166"/>
      <c r="F3" s="166"/>
      <c r="G3" s="166"/>
      <c r="H3" s="166"/>
    </row>
    <row r="4" spans="2:8" s="60" customFormat="1" ht="28">
      <c r="B4" s="106" t="str">
        <f>IF('1. Info'!$C$6="English",'Price List EN VMware'!A1,IF('1. Info'!$C$6="Français",'Liste de Prix FR VMware'!A1,"#Error"))</f>
        <v>Nom du produit</v>
      </c>
      <c r="C4" s="106" t="str">
        <f>IF('1. Info'!$C$6="English",(VLOOKUP($B$4,'Price List EN VMware'!$A:$XFD,2,FALSE)),IF('1. Info'!$C$6="Français",(VLOOKUP($B$4,'Liste de Prix FR VMware'!$A:$XFD,2,FALSE)),"#Error"))</f>
        <v>Description</v>
      </c>
      <c r="D4" s="106" t="str">
        <f>IF('1. Info'!$C$6="English",(VLOOKUP($B$4,'Price List EN VMware'!$A:$XFD,3,FALSE)),IF('1. Info'!$C$6="Français",(VLOOKUP($B$4,'Liste de Prix FR VMware'!$A:$XFD,3,FALSE)),"#Error"))</f>
        <v>Unité de mesure</v>
      </c>
      <c r="E4" s="107" t="str">
        <f>IF('1. Info'!$C$6="English",(VLOOKUP($B$4,'Price List EN VMware'!$A:$XFD,4,FALSE)),IF('1. Info'!$C$6="Français",(VLOOKUP($B$4,'Liste de Prix FR VMware'!$A:$XFD,4,FALSE)),"#Error"))</f>
        <v>Fréquence de paiement</v>
      </c>
      <c r="F4" s="107" t="str">
        <f>IF('1. Info'!$C$6="English",IF('1. Info'!$C$8="USD",(VLOOKUP($B$4,'Price List EN VMware'!$A:$XFD,5,FALSE)),IF('1. Info'!$C$8="CAD",(VLOOKUP($B$4,'Price List EN VMware'!$A:$XFD,6,FALSE)),"#Error")),IF('1. Info'!$C$6="Français",IF('1. Info'!$C$8="USD",(VLOOKUP($B$4,'Liste de Prix FR VMware'!$A:$XFD,5,FALSE)),IF('1. Info'!$C$8="CAD",(VLOOKUP($B$4,'Liste de Prix FR VMware'!$A:$XFD,6,FALSE)),"#Error"))))</f>
        <v>Coût mensuel CAD</v>
      </c>
      <c r="G4" s="56" t="str">
        <f>IF('1. Info'!$C$6="English",(VLOOKUP($B$4,'Price List EN VMware'!$A:$XFD,7,FALSE)),IF('1. Info'!$C$6="Français",(VLOOKUP($B$4,'Liste de Prix FR VMware'!$A:$XFD,7,FALSE)),"#Error"))</f>
        <v>QTÉ</v>
      </c>
      <c r="H4" s="107" t="str">
        <f>IF('1. Info'!$C$6="English",(VLOOKUP($B$4,'Price List EN VMware'!$A:$XFD,8,FALSE)),IF('1. Info'!$C$6="Français",(VLOOKUP($B$4,'Liste de Prix FR VMware'!$A:$XFD,8,FALSE)),"#Error"))</f>
        <v>Coût mensuel total</v>
      </c>
    </row>
    <row r="5" spans="2:8" s="60" customFormat="1" ht="15">
      <c r="B5" s="174" t="str">
        <f>IF('1. Info'!$C$6="English","Core Services",IF('1. Info'!$C$6="Français","Services essentiels","#Error"))</f>
        <v>Services essentiels</v>
      </c>
      <c r="C5" s="174"/>
      <c r="D5" s="174"/>
      <c r="E5" s="174"/>
      <c r="F5" s="174"/>
      <c r="G5" s="174"/>
      <c r="H5" s="174"/>
    </row>
    <row r="6" spans="2:8" ht="15">
      <c r="B6" s="101" t="str">
        <f>IF('1. Info'!$C$6="English",'Price List EN VMware'!A2,IF('1. Info'!$C$6="Français",'Liste de Prix FR VMware'!A2,"#Error"))</f>
        <v>Ressources</v>
      </c>
      <c r="C6" s="101"/>
      <c r="D6" s="101"/>
      <c r="E6" s="130"/>
      <c r="F6" s="135"/>
      <c r="G6" s="102"/>
      <c r="H6" s="135"/>
    </row>
    <row r="7" spans="2:8" s="86" customFormat="1" ht="15">
      <c r="B7" s="99" t="str">
        <f>IF('1. Info'!$C$6="English",'Price List EN VMware'!A3,IF('1. Info'!$C$6="Français",'Liste de Prix FR VMware'!A3,"#Error"))</f>
        <v>CPU</v>
      </c>
      <c r="C7" s="99" t="str">
        <f>IF('1. Info'!$C$6="English",(VLOOKUP(B7,'Price List EN VMware'!$A:$XFD,2,FALSE)),IF('1. Info'!$C$6="Français",(VLOOKUP(B7,'Liste de Prix FR VMware'!$A:$XFD,2,FALSE)),"#Error"))</f>
        <v>Ajoutez 1 coeur CPU à votre centre de données virtuel</v>
      </c>
      <c r="D7" s="99" t="str">
        <f>IF('1. Info'!$C$6="English",(VLOOKUP(B7,'Price List EN VMware'!$A:$XFD,3,FALSE)),IF('1. Info'!$C$6="Français",(VLOOKUP(B7,'Liste de Prix FR VMware'!$A:$XFD,3,FALSE)),"#Error"))</f>
        <v>Coeur</v>
      </c>
      <c r="E7" s="131" t="str">
        <f>IF('1. Info'!$C$6="English",(VLOOKUP(B7,'Price List EN VMware'!$A:$XFD,4,FALSE)),IF('1. Info'!$C$6="Français",(VLOOKUP(B7,'Liste de Prix FR VMware'!$A:$XFD,4,FALSE)),"#Error"))</f>
        <v>Mensuel</v>
      </c>
      <c r="F7" s="136">
        <f>IF('1. Info'!$C$6="English",IF('1. Info'!$C$8="USD",(VLOOKUP(B7,'Price List EN VMware'!$A:$XFD,5,FALSE)),IF('1. Info'!$C$8="CAD",(VLOOKUP(B7,'Price List EN VMware'!$A:$XFD,6,FALSE)),"#Error")),IF('1. Info'!$C$6="Français",IF('1. Info'!$C$8="USD",(VLOOKUP(B7,'Liste de Prix FR VMware'!$A:$XFD,5,FALSE)),IF('1. Info'!$C$8="CAD",(VLOOKUP(B7,'Liste de Prix FR VMware'!$A:$XFD,6,FALSE)),"#Error"))))</f>
        <v>13.82</v>
      </c>
      <c r="G7" s="103">
        <f>'2. VM'!Q12</f>
        <v>2</v>
      </c>
      <c r="H7" s="136">
        <f>F7*G7</f>
        <v>27.64</v>
      </c>
    </row>
    <row r="8" spans="2:8" s="86" customFormat="1" ht="15">
      <c r="B8" s="99" t="str">
        <f>IF('1. Info'!$C$6="English",'Price List EN VMware'!A4,IF('1. Info'!$C$6="Français",'Liste de Prix FR VMware'!A4,"#Error"))</f>
        <v>RAM</v>
      </c>
      <c r="C8" s="99" t="str">
        <f>IF('1. Info'!$C$6="English",(VLOOKUP(B8,'Price List EN VMware'!$A:$XFD,2,FALSE)),IF('1. Info'!$C$6="Français",(VLOOKUP(B8,'Liste de Prix FR VMware'!$A:$XFD,2,FALSE)),"#Error"))</f>
        <v>Ajoutez 1Go mémoire à votre centre de données virtuel</v>
      </c>
      <c r="D8" s="99" t="str">
        <f>IF('1. Info'!$C$6="English",(VLOOKUP(B8,'Price List EN VMware'!$A:$XFD,3,FALSE)),IF('1. Info'!$C$6="Français",(VLOOKUP(B8,'Liste de Prix FR VMware'!$A:$XFD,3,FALSE)),"#Error"))</f>
        <v>Gigaoctet (Go)</v>
      </c>
      <c r="E8" s="131" t="str">
        <f>IF('1. Info'!$C$6="English",(VLOOKUP(B8,'Price List EN VMware'!$A:$XFD,4,FALSE)),IF('1. Info'!$C$6="Français",(VLOOKUP(B8,'Liste de Prix FR VMware'!$A:$XFD,4,FALSE)),"#Error"))</f>
        <v>Mensuel</v>
      </c>
      <c r="F8" s="136">
        <f>IF('1. Info'!$C$6="English",IF('1. Info'!$C$8="USD",(VLOOKUP(B8,'Price List EN VMware'!$A:$XFD,5,FALSE)),IF('1. Info'!$C$8="CAD",(VLOOKUP(B8,'Price List EN VMware'!$A:$XFD,6,FALSE)),"#Error")),IF('1. Info'!$C$6="Français",IF('1. Info'!$C$8="USD",(VLOOKUP(B8,'Liste de Prix FR VMware'!$A:$XFD,5,FALSE)),IF('1. Info'!$C$8="CAD",(VLOOKUP(B8,'Liste de Prix FR VMware'!$A:$XFD,6,FALSE)),"#Error"))))</f>
        <v>7.78</v>
      </c>
      <c r="G8" s="103">
        <f>'2. VM'!Q13</f>
        <v>16</v>
      </c>
      <c r="H8" s="136">
        <f>F8*G8</f>
        <v>124.48</v>
      </c>
    </row>
    <row r="9" spans="2:8" s="86" customFormat="1" ht="15">
      <c r="B9" s="99" t="str">
        <f>IF('1. Info'!$C$6="English",'Price List EN VMware'!A5,IF('1. Info'!$C$6="Français",'Liste de Prix FR VMware'!A5,"#Error"))</f>
        <v>Stockage Premium SSD</v>
      </c>
      <c r="C9" s="99" t="str">
        <f>IF('1. Info'!$C$6="English",(VLOOKUP(B9,'Price List EN VMware'!$A:$XFD,2,FALSE)),IF('1. Info'!$C$6="Français",(VLOOKUP(B9,'Liste de Prix FR VMware'!$A:$XFD,2,FALSE)),"#Error"))</f>
        <v>Ajoutez 1Go stockage SSD à votre centre de données virtuel</v>
      </c>
      <c r="D9" s="99" t="str">
        <f>IF('1. Info'!$C$6="English",(VLOOKUP(B9,'Price List EN VMware'!$A:$XFD,3,FALSE)),IF('1. Info'!$C$6="Français",(VLOOKUP(B9,'Liste de Prix FR VMware'!$A:$XFD,3,FALSE)),"#Error"))</f>
        <v>Gigaoctet (Go)</v>
      </c>
      <c r="E9" s="131" t="str">
        <f>IF('1. Info'!$C$6="English",(VLOOKUP(B9,'Price List EN VMware'!$A:$XFD,4,FALSE)),IF('1. Info'!$C$6="Français",(VLOOKUP(B9,'Liste de Prix FR VMware'!$A:$XFD,4,FALSE)),"#Error"))</f>
        <v>Mensuel</v>
      </c>
      <c r="F9" s="136">
        <f>IF('1. Info'!$C$6="English",IF('1. Info'!$C$8="USD",(VLOOKUP(B9,'Price List EN VMware'!$A:$XFD,5,FALSE)),IF('1. Info'!$C$8="CAD",(VLOOKUP(B9,'Price List EN VMware'!$A:$XFD,6,FALSE)),"#Error")),IF('1. Info'!$C$6="Français",IF('1. Info'!$C$8="USD",(VLOOKUP(B9,'Liste de Prix FR VMware'!$A:$XFD,5,FALSE)),IF('1. Info'!$C$8="CAD",(VLOOKUP(B9,'Liste de Prix FR VMware'!$A:$XFD,6,FALSE)),"#Error"))))</f>
        <v>0.065</v>
      </c>
      <c r="G9" s="103">
        <f>'2. VM'!Q14</f>
        <v>388</v>
      </c>
      <c r="H9" s="136">
        <f>F9*G9</f>
        <v>25.220000000000002</v>
      </c>
    </row>
    <row r="10" spans="2:8" s="86" customFormat="1" ht="13.9" customHeight="1">
      <c r="B10" s="99" t="str">
        <f>IF('1. Info'!$C$6="English",'Price List EN VMware'!A6,IF('1. Info'!$C$6="Français",'Liste de Prix FR VMware'!A6,"#Error"))</f>
        <v>Stockage Standard HDD</v>
      </c>
      <c r="C10" s="99" t="str">
        <f>IF('1. Info'!$C$6="English",(VLOOKUP(B10,'Price List EN VMware'!$A:$XFD,2,FALSE)),IF('1. Info'!$C$6="Français",(VLOOKUP(B10,'Liste de Prix FR VMware'!$A:$XFD,2,FALSE)),"#Error"))</f>
        <v>Ajoutez 1Go stockage HDD à votre centre de données virtuel</v>
      </c>
      <c r="D10" s="99" t="str">
        <f>IF('1. Info'!$C$6="English",(VLOOKUP(B10,'Price List EN VMware'!$A:$XFD,3,FALSE)),IF('1. Info'!$C$6="Français",(VLOOKUP(B10,'Liste de Prix FR VMware'!$A:$XFD,3,FALSE)),"#Error"))</f>
        <v>Gigaoctet (Go)</v>
      </c>
      <c r="E10" s="131" t="str">
        <f>IF('1. Info'!$C$6="English",(VLOOKUP(B10,'Price List EN VMware'!$A:$XFD,4,FALSE)),IF('1. Info'!$C$6="Français",(VLOOKUP(B10,'Liste de Prix FR VMware'!$A:$XFD,4,FALSE)),"#Error"))</f>
        <v>Mensuel</v>
      </c>
      <c r="F10" s="136">
        <f>IF('1. Info'!$C$6="English",IF('1. Info'!$C$8="USD",(VLOOKUP(B10,'Price List EN VMware'!$A:$XFD,5,FALSE)),IF('1. Info'!$C$8="CAD",(VLOOKUP(B10,'Price List EN VMware'!$A:$XFD,6,FALSE)),"#Error")),IF('1. Info'!$C$6="Français",IF('1. Info'!$C$8="USD",(VLOOKUP(B10,'Liste de Prix FR VMware'!$A:$XFD,5,FALSE)),IF('1. Info'!$C$8="CAD",(VLOOKUP(B10,'Liste de Prix FR VMware'!$A:$XFD,6,FALSE)),"#Error"))))</f>
        <v>0.0108</v>
      </c>
      <c r="G10" s="103">
        <f>'2. VM'!Q15</f>
        <v>0</v>
      </c>
      <c r="H10" s="136">
        <f>F10*G10</f>
        <v>0</v>
      </c>
    </row>
    <row r="11" spans="2:8" ht="15">
      <c r="B11" s="99" t="str">
        <f>IF('1. Info'!$C$6="English",'Price List EN VMware'!A7,IF('1. Info'!$C$6="Français",'Liste de Prix FR VMware'!A7,"#Error"))</f>
        <v>Stockage Sauvegarde</v>
      </c>
      <c r="C11" s="99" t="str">
        <f>IF('1. Info'!$C$6="English",(VLOOKUP(B11,'Price List EN VMware'!$A:$XFD,2,FALSE)),IF('1. Info'!$C$6="Français",(VLOOKUP(B11,'Liste de Prix FR VMware'!$A:$XFD,2,FALSE)),"#Error"))</f>
        <v>Ajoutez 1Go stockage sauvegarde à votre centre de données virtuel</v>
      </c>
      <c r="D11" s="99" t="str">
        <f>IF('1. Info'!$C$6="English",(VLOOKUP(B11,'Price List EN VMware'!$A:$XFD,3,FALSE)),IF('1. Info'!$C$6="Français",(VLOOKUP(B11,'Liste de Prix FR VMware'!$A:$XFD,3,FALSE)),"#Error"))</f>
        <v>Gigaoctet (Go)</v>
      </c>
      <c r="E11" s="131" t="str">
        <f>IF('1. Info'!$C$6="English",(VLOOKUP(B11,'Price List EN VMware'!$A:$XFD,4,FALSE)),IF('1. Info'!$C$6="Français",(VLOOKUP(B11,'Liste de Prix FR VMware'!$A:$XFD,4,FALSE)),"#Error"))</f>
        <v>Mensuel</v>
      </c>
      <c r="F11" s="136">
        <f>IF('1. Info'!$C$6="English",IF('1. Info'!$C$8="USD",(VLOOKUP(B11,'Price List EN VMware'!$A:$XFD,5,FALSE)),IF('1. Info'!$C$8="CAD",(VLOOKUP(B11,'Price List EN VMware'!$A:$XFD,6,FALSE)),"#Error")),IF('1. Info'!$C$6="Français",IF('1. Info'!$C$8="USD",(VLOOKUP(B11,'Liste de Prix FR VMware'!$A:$XFD,5,FALSE)),IF('1. Info'!$C$8="CAD",(VLOOKUP(B11,'Liste de Prix FR VMware'!$A:$XFD,6,FALSE)),"#Error"))))</f>
        <v>0.0201</v>
      </c>
      <c r="G11" s="103">
        <f>('2. VM'!Q14+'2. VM'!Q15)*'2. VM'!Q18</f>
        <v>776</v>
      </c>
      <c r="H11" s="136">
        <f>F11*G11</f>
        <v>15.5976</v>
      </c>
    </row>
    <row r="12" spans="2:8" ht="15">
      <c r="B12" s="101" t="str">
        <f>IF('1. Info'!$C$6="English",'Price List EN VMware'!A8,IF('1. Info'!$C$6="Français",'Liste de Prix FR VMware'!A8,"#Error"))</f>
        <v>Licences</v>
      </c>
      <c r="C12" s="101"/>
      <c r="D12" s="101"/>
      <c r="E12" s="132"/>
      <c r="F12" s="137"/>
      <c r="G12" s="102"/>
      <c r="H12" s="135"/>
    </row>
    <row r="13" spans="2:8" ht="15">
      <c r="B13" s="99" t="str">
        <f>IF('1. Info'!$C$6="English",'Price List EN VMware'!A9,IF('1. Info'!$C$6="Français",'Liste de Prix FR VMware'!A9,"#Error"))</f>
        <v>Licences systèmes d'exploitation</v>
      </c>
      <c r="C13" s="99" t="str">
        <f>IF('1. Info'!$C$6="English",(VLOOKUP(B13,'Price List EN VMware'!$A:$XFD,2,FALSE)),IF('1. Info'!$C$6="Français",(VLOOKUP(B13,'Liste de Prix FR VMware'!$A:$XFD,2,FALSE)),"#Error"))</f>
        <v>Windows Server 2012 Datacenter en montant, CentOS, Ubuntu</v>
      </c>
      <c r="D13" s="99" t="str">
        <f>IF('1. Info'!$C$6="English",(VLOOKUP(B13,'Price List EN VMware'!$A:$XFD,3,FALSE)),IF('1. Info'!$C$6="Français",(VLOOKUP(B13,'Liste de Prix FR VMware'!$A:$XFD,3,FALSE)),"#Error"))</f>
        <v>Serveur virtuel</v>
      </c>
      <c r="E13" s="131" t="str">
        <f>IF('1. Info'!$C$6="English",IF('1. Info'!$C$8="USD",(VLOOKUP(B13,'Price List EN VMware'!$A:$XFD,4,FALSE)),IF('1. Info'!$C$8="CAD",(VLOOKUP(B13,'Price List EN VMware'!$A:$XFD,6,FALSE)),"#Error")),IF('1. Info'!$C$6="Français",IF('1. Info'!$C$8="USD",(VLOOKUP(B13,'Liste de Prix FR VMware'!$A:$XFD,4,FALSE)),IF('1. Info'!$C$8="CAD",(VLOOKUP(B13,'Liste de Prix FR VMware'!$A:$XFD,6,FALSE)),"#Error"))))</f>
        <v>INCLUS</v>
      </c>
      <c r="F13" s="136" t="str">
        <f>IF('1. Info'!$C$6="English",IF('1. Info'!$C$8="USD",(VLOOKUP(B13,'Price List EN VMware'!$A:$XFD,5,FALSE)),IF('1. Info'!$C$8="CAD",(VLOOKUP(B13,'Price List EN VMware'!$A:$XFD,6,FALSE)),"#Error")),IF('1. Info'!$C$6="Français",IF('1. Info'!$C$8="USD",(VLOOKUP(B13,'Liste de Prix FR VMware'!$A:$XFD,5,FALSE)),IF('1. Info'!$C$8="CAD",(VLOOKUP(B13,'Liste de Prix FR VMware'!$A:$XFD,6,FALSE)),"#Error"))))</f>
        <v>INCLUS</v>
      </c>
      <c r="G13" s="131" t="str">
        <f>IF('1. Info'!$C$6="English",IF('1. Info'!$C$8="USD",(VLOOKUP(B13,'Price List EN VMware'!$A:$XFD,7,FALSE)),IF('1. Info'!$C$8="CAD",(VLOOKUP(B13,'Price List EN VMware'!$A:$XFD,7,FALSE)),"#Error")),IF('1. Info'!$C$6="Français",IF('1. Info'!$C$8="USD",(VLOOKUP(B13,'Liste de Prix FR VMware'!$A:$XFD,7,FALSE)),IF('1. Info'!$C$8="CAD",(VLOOKUP(B13,'Liste de Prix FR VMware'!$A:$XFD,7,FALSE)),"#Error"))))</f>
        <v>N/A</v>
      </c>
      <c r="H13" s="131" t="str">
        <f>IF('1. Info'!$C$6="English",IF('1. Info'!$C$8="USD",(VLOOKUP(B13,'Price List EN VMware'!$A:$XFD,8,FALSE)),IF('1. Info'!$C$8="CAD",(VLOOKUP(B13,'Price List EN VMware'!$A:$XFD,8,FALSE)),"#Error")),IF('1. Info'!$C$6="Français",IF('1. Info'!$C$8="USD",(VLOOKUP(B13,'Liste de Prix FR VMware'!$A:$XFD,8,FALSE)),IF('1. Info'!$C$8="CAD",(VLOOKUP(B13,'Liste de Prix FR VMware'!$A:$XFD,8,FALSE)),"#Error"))))</f>
        <v>INCLUS</v>
      </c>
    </row>
    <row r="14" spans="2:8" ht="15">
      <c r="B14" s="99" t="str">
        <f>IF('1. Info'!$C$6="English",'Price List EN VMware'!A10,IF('1. Info'!$C$6="Français",'Liste de Prix FR VMware'!A10,"#Error"))</f>
        <v>Veeam</v>
      </c>
      <c r="C14" s="99" t="str">
        <f>IF('1. Info'!$C$6="English",(VLOOKUP(B14,'Price List EN VMware'!$A:$XFD,2,FALSE)),IF('1. Info'!$C$6="Français",(VLOOKUP(B14,'Liste de Prix FR VMware'!$A:$XFD,2,FALSE)),"#Error"))</f>
        <v>Veeam Backup &amp; Replication</v>
      </c>
      <c r="D14" s="99" t="str">
        <f>IF('1. Info'!$C$6="English",(VLOOKUP(B14,'Price List EN VMware'!$A:$XFD,3,FALSE)),IF('1. Info'!$C$6="Français",(VLOOKUP(B14,'Liste de Prix FR VMware'!$A:$XFD,3,FALSE)),"#Error"))</f>
        <v>Serveur virtuel</v>
      </c>
      <c r="E14" s="131" t="str">
        <f>IF('1. Info'!$C$6="English",(VLOOKUP(B14,'Price List EN VMware'!$A:$XFD,4,FALSE)),IF('1. Info'!$C$6="Français",(VLOOKUP(B14,'Liste de Prix FR VMware'!$A:$XFD,4,FALSE)),"#Error"))</f>
        <v>Mensuel</v>
      </c>
      <c r="F14" s="136">
        <f>IF('1. Info'!$C$6="English",IF('1. Info'!$C$8="USD",(VLOOKUP(B14,'Price List EN VMware'!$A:$XFD,5,FALSE)),IF('1. Info'!$C$8="CAD",(VLOOKUP(B14,'Price List EN VMware'!$A:$XFD,6,FALSE)),"#Error")),IF('1. Info'!$C$6="Français",IF('1. Info'!$C$8="USD",(VLOOKUP(B14,'Liste de Prix FR VMware'!$A:$XFD,5,FALSE)),IF('1. Info'!$C$8="CAD",(VLOOKUP(B14,'Liste de Prix FR VMware'!$A:$XFD,6,FALSE)),"#Error"))))</f>
        <v>6.9</v>
      </c>
      <c r="G14" s="103">
        <f>'2. VM'!Q19</f>
        <v>1</v>
      </c>
      <c r="H14" s="136">
        <f>F14*G14</f>
        <v>6.9</v>
      </c>
    </row>
    <row r="15" spans="2:8" s="60" customFormat="1" ht="15">
      <c r="B15" s="174" t="str">
        <f>IF('1. Info'!$C$6="English","Optional Features",IF('1. Info'!$C$6="Français","Fonctionnalités optionnelles","#Error"))</f>
        <v>Fonctionnalités optionnelles</v>
      </c>
      <c r="C15" s="174"/>
      <c r="D15" s="174"/>
      <c r="E15" s="174"/>
      <c r="F15" s="174"/>
      <c r="G15" s="174"/>
      <c r="H15" s="174"/>
    </row>
    <row r="16" spans="2:8" ht="15">
      <c r="B16" s="101" t="str">
        <f>IF('1. Info'!$C$6="English",'Price List EN VMware'!A11,IF('1. Info'!$C$6="Français",'Liste de Prix FR VMware'!A11,"#Error"))</f>
        <v>Licences Optionnelles</v>
      </c>
      <c r="C16" s="101"/>
      <c r="D16" s="101"/>
      <c r="E16" s="132"/>
      <c r="F16" s="137"/>
      <c r="G16" s="102"/>
      <c r="H16" s="135"/>
    </row>
    <row r="17" spans="2:8" ht="15">
      <c r="B17" s="99" t="str">
        <f>IF('1. Info'!$C$6="English",'Price List EN VMware'!A12,IF('1. Info'!$C$6="Français",'Liste de Prix FR VMware'!A12,"#Error"))</f>
        <v>Microsoft SQL Server Express</v>
      </c>
      <c r="C17" s="99" t="str">
        <f>IF('1. Info'!$C$6="English",(VLOOKUP(B17,'Price List EN VMware'!$A:$XFD,2,FALSE)),IF('1. Info'!$C$6="Français",(VLOOKUP(B17,'Liste de Prix FR VMware'!$A:$XFD,2,FALSE)),"#Error"))</f>
        <v>Téléchargement gratuit</v>
      </c>
      <c r="D17" s="99" t="str">
        <f>IF('1. Info'!$C$6="English",(VLOOKUP(B17,'Price List EN VMware'!$A:$XFD,3,FALSE)),IF('1. Info'!$C$6="Français",(VLOOKUP(B17,'Liste de Prix FR VMware'!$A:$XFD,3,FALSE)),"#Error"))</f>
        <v>Application</v>
      </c>
      <c r="E17" s="131" t="str">
        <f>IF('1. Info'!$C$6="English",(VLOOKUP(B17,'Price List EN VMware'!$A:$XFD,4,FALSE)),IF('1. Info'!$C$6="Français",(VLOOKUP(B17,'Liste de Prix FR VMware'!$A:$XFD,4,FALSE)),"#Error"))</f>
        <v>Mensuel</v>
      </c>
      <c r="F17" s="136">
        <f>IF('1. Info'!$C$6="English",IF('1. Info'!$C$8="USD",(VLOOKUP(B17,'Price List EN VMware'!$A:$XFD,5,FALSE)),IF('1. Info'!$C$8="CAD",(VLOOKUP(B17,'Price List EN VMware'!$A:$XFD,6,FALSE)),"#Error")),IF('1. Info'!$C$6="Français",IF('1. Info'!$C$8="USD",(VLOOKUP(B17,'Liste de Prix FR VMware'!$A:$XFD,5,FALSE)),IF('1. Info'!$C$8="CAD",(VLOOKUP(B17,'Liste de Prix FR VMware'!$A:$XFD,6,FALSE)),"#Error"))))</f>
        <v>0</v>
      </c>
      <c r="G17" s="104">
        <v>0</v>
      </c>
      <c r="H17" s="136">
        <f>F17*G17</f>
        <v>0</v>
      </c>
    </row>
    <row r="18" spans="2:8" ht="15">
      <c r="B18" s="99" t="str">
        <f>IF('1. Info'!$C$6="English",'Price List EN VMware'!A13,IF('1. Info'!$C$6="Français",'Liste de Prix FR VMware'!A13,"#Error"))</f>
        <v>Microsoft SQL Server Web</v>
      </c>
      <c r="C18" s="99" t="str">
        <f>IF('1. Info'!$C$6="English",(VLOOKUP(B18,'Price List EN VMware'!$A:$XFD,2,FALSE)),IF('1. Info'!$C$6="Français",(VLOOKUP(B18,'Liste de Prix FR VMware'!$A:$XFD,2,FALSE)),"#Error"))</f>
        <v>Licence pour 2 coeurs. Un minimum de 4 coeurs par serveur à couvrir.</v>
      </c>
      <c r="D18" s="99" t="str">
        <f>IF('1. Info'!$C$6="English",(VLOOKUP(B18,'Price List EN VMware'!$A:$XFD,3,FALSE)),IF('1. Info'!$C$6="Français",(VLOOKUP(B18,'Liste de Prix FR VMware'!$A:$XFD,3,FALSE)),"#Error"))</f>
        <v>Licence (2 coeurs)</v>
      </c>
      <c r="E18" s="131" t="str">
        <f>IF('1. Info'!$C$6="English",(VLOOKUP(B18,'Price List EN VMware'!$A:$XFD,4,FALSE)),IF('1. Info'!$C$6="Français",(VLOOKUP(B18,'Liste de Prix FR VMware'!$A:$XFD,4,FALSE)),"#Error"))</f>
        <v>Mensuel</v>
      </c>
      <c r="F18" s="136">
        <f>IF('1. Info'!$C$6="English",IF('1. Info'!$C$8="USD",(VLOOKUP(B18,'Price List EN VMware'!$A:$XFD,5,FALSE)),IF('1. Info'!$C$8="CAD",(VLOOKUP(B18,'Price List EN VMware'!$A:$XFD,6,FALSE)),"#Error")),IF('1. Info'!$C$6="Français",IF('1. Info'!$C$8="USD",(VLOOKUP(B18,'Liste de Prix FR VMware'!$A:$XFD,5,FALSE)),IF('1. Info'!$C$8="CAD",(VLOOKUP(B18,'Liste de Prix FR VMware'!$A:$XFD,6,FALSE)),"#Error"))))</f>
        <v>18.5</v>
      </c>
      <c r="G18" s="104">
        <v>0</v>
      </c>
      <c r="H18" s="136">
        <f>F18*G18</f>
        <v>0</v>
      </c>
    </row>
    <row r="19" spans="2:8" ht="15">
      <c r="B19" s="99" t="str">
        <f>IF('1. Info'!$C$6="English",'Price List EN VMware'!A14,IF('1. Info'!$C$6="Français",'Liste de Prix FR VMware'!A14,"#Error"))</f>
        <v>Microsoft SQL Server Standard</v>
      </c>
      <c r="C19" s="99" t="str">
        <f>IF('1. Info'!$C$6="English",(VLOOKUP(B19,'Price List EN VMware'!$A:$XFD,2,FALSE)),IF('1. Info'!$C$6="Français",(VLOOKUP(B19,'Liste de Prix FR VMware'!$A:$XFD,2,FALSE)),"#Error"))</f>
        <v>Licence pour 2 coeurs. Un minimum de 4 coeurs par serveur à couvrir.</v>
      </c>
      <c r="D19" s="99" t="str">
        <f>IF('1. Info'!$C$6="English",(VLOOKUP(B19,'Price List EN VMware'!$A:$XFD,3,FALSE)),IF('1. Info'!$C$6="Français",(VLOOKUP(B19,'Liste de Prix FR VMware'!$A:$XFD,3,FALSE)),"#Error"))</f>
        <v>Licence (2 coeurs)</v>
      </c>
      <c r="E19" s="131" t="str">
        <f>IF('1. Info'!$C$6="English",(VLOOKUP(B19,'Price List EN VMware'!$A:$XFD,4,FALSE)),IF('1. Info'!$C$6="Français",(VLOOKUP(B19,'Liste de Prix FR VMware'!$A:$XFD,4,FALSE)),"#Error"))</f>
        <v>Mensuel</v>
      </c>
      <c r="F19" s="136">
        <f>IF('1. Info'!$C$6="English",IF('1. Info'!$C$8="USD",(VLOOKUP(B19,'Price List EN VMware'!$A:$XFD,5,FALSE)),IF('1. Info'!$C$8="CAD",(VLOOKUP(B19,'Price List EN VMware'!$A:$XFD,6,FALSE)),"#Error")),IF('1. Info'!$C$6="Français",IF('1. Info'!$C$8="USD",(VLOOKUP(B19,'Liste de Prix FR VMware'!$A:$XFD,5,FALSE)),IF('1. Info'!$C$8="CAD",(VLOOKUP(B19,'Liste de Prix FR VMware'!$A:$XFD,6,FALSE)),"#Error"))))</f>
        <v>250</v>
      </c>
      <c r="G19" s="104">
        <v>0</v>
      </c>
      <c r="H19" s="136">
        <f>F19*G19</f>
        <v>0</v>
      </c>
    </row>
    <row r="20" spans="2:8" ht="15">
      <c r="B20" s="99" t="str">
        <f>IF('1. Info'!$C$6="English",'Price List EN VMware'!A15,IF('1. Info'!$C$6="Français",'Liste de Prix FR VMware'!A15,"#Error"))</f>
        <v>Microsoft SQL Server Enterprise</v>
      </c>
      <c r="C20" s="99" t="str">
        <f>IF('1. Info'!$C$6="English",(VLOOKUP(B20,'Price List EN VMware'!$A:$XFD,2,FALSE)),IF('1. Info'!$C$6="Français",(VLOOKUP(B20,'Liste de Prix FR VMware'!$A:$XFD,2,FALSE)),"#Error"))</f>
        <v>Licence pour 2 coeurs. Un minimum de 4 coeurs par serveur à couvrir.</v>
      </c>
      <c r="D20" s="99" t="str">
        <f>IF('1. Info'!$C$6="English",(VLOOKUP(B20,'Price List EN VMware'!$A:$XFD,3,FALSE)),IF('1. Info'!$C$6="Français",(VLOOKUP(B20,'Liste de Prix FR VMware'!$A:$XFD,3,FALSE)),"#Error"))</f>
        <v>Licence (2 coeurs)</v>
      </c>
      <c r="E20" s="131" t="str">
        <f>IF('1. Info'!$C$6="English",(VLOOKUP(B20,'Price List EN VMware'!$A:$XFD,4,FALSE)),IF('1. Info'!$C$6="Français",(VLOOKUP(B20,'Liste de Prix FR VMware'!$A:$XFD,4,FALSE)),"#Error"))</f>
        <v>Mensuel</v>
      </c>
      <c r="F20" s="136">
        <f>IF('1. Info'!$C$6="English",IF('1. Info'!$C$8="USD",(VLOOKUP(B20,'Price List EN VMware'!$A:$XFD,5,FALSE)),IF('1. Info'!$C$8="CAD",(VLOOKUP(B20,'Price List EN VMware'!$A:$XFD,6,FALSE)),"#Error")),IF('1. Info'!$C$6="Français",IF('1. Info'!$C$8="USD",(VLOOKUP(B20,'Liste de Prix FR VMware'!$A:$XFD,5,FALSE)),IF('1. Info'!$C$8="CAD",(VLOOKUP(B20,'Liste de Prix FR VMware'!$A:$XFD,6,FALSE)),"#Error"))))</f>
        <v>950</v>
      </c>
      <c r="G20" s="104">
        <v>0</v>
      </c>
      <c r="H20" s="136">
        <f>F20*G20</f>
        <v>0</v>
      </c>
    </row>
    <row r="21" spans="2:8" ht="15">
      <c r="B21" s="99" t="str">
        <f>IF('1. Info'!$C$6="English",'Price List EN VMware'!A16,IF('1. Info'!$C$6="Français",'Liste de Prix FR VMware'!A16,"#Error"))</f>
        <v>Windows Services Bureau à Distance SAL</v>
      </c>
      <c r="C21" s="99" t="str">
        <f>IF('1. Info'!$C$6="English",(VLOOKUP(B21,'Price List EN VMware'!$A:$XFD,2,FALSE)),IF('1. Info'!$C$6="Français",(VLOOKUP(B21,'Liste de Prix FR VMware'!$A:$XFD,2,FALSE)),"#Error"))</f>
        <v>Licence</v>
      </c>
      <c r="D21" s="99" t="str">
        <f>IF('1. Info'!$C$6="English",(VLOOKUP(B21,'Price List EN VMware'!$A:$XFD,3,FALSE)),IF('1. Info'!$C$6="Français",(VLOOKUP(B21,'Liste de Prix FR VMware'!$A:$XFD,3,FALSE)),"#Error"))</f>
        <v>Usager</v>
      </c>
      <c r="E21" s="131" t="str">
        <f>IF('1. Info'!$C$6="English",(VLOOKUP(B21,'Price List EN VMware'!$A:$XFD,4,FALSE)),IF('1. Info'!$C$6="Français",(VLOOKUP(B21,'Liste de Prix FR VMware'!$A:$XFD,4,FALSE)),"#Error"))</f>
        <v>Mensuel</v>
      </c>
      <c r="F21" s="136">
        <f>IF('1. Info'!$C$6="English",IF('1. Info'!$C$8="USD",(VLOOKUP(B21,'Price List EN VMware'!$A:$XFD,5,FALSE)),IF('1. Info'!$C$8="CAD",(VLOOKUP(B21,'Price List EN VMware'!$A:$XFD,6,FALSE)),"#Error")),IF('1. Info'!$C$6="Français",IF('1. Info'!$C$8="USD",(VLOOKUP(B21,'Liste de Prix FR VMware'!$A:$XFD,5,FALSE)),IF('1. Info'!$C$8="CAD",(VLOOKUP(B21,'Liste de Prix FR VMware'!$A:$XFD,6,FALSE)),"#Error"))))</f>
        <v>13.15</v>
      </c>
      <c r="G21" s="104">
        <v>0</v>
      </c>
      <c r="H21" s="136">
        <f>F21*G21</f>
        <v>0</v>
      </c>
    </row>
    <row r="22" spans="2:8" ht="15">
      <c r="B22" s="101" t="str">
        <f>IF('1. Info'!$C$6="English",'Price List EN VMware'!A17,IF('1. Info'!$C$6="Français",'Liste de Prix FR VMware'!A17,"#Error"))</f>
        <v>Mise en réseau</v>
      </c>
      <c r="C22" s="101"/>
      <c r="D22" s="101"/>
      <c r="E22" s="132"/>
      <c r="F22" s="137"/>
      <c r="G22" s="102"/>
      <c r="H22" s="135"/>
    </row>
    <row r="23" spans="2:8" ht="15">
      <c r="B23" s="99" t="str">
        <f>IF('1. Info'!$C$6="English",'Price List EN VMware'!A18,IF('1. Info'!$C$6="Français",'Liste de Prix FR VMware'!A18,"#Error"))</f>
        <v>Adresse IP publique</v>
      </c>
      <c r="C23" s="99" t="str">
        <f>IF('1. Info'!$C$6="English",(VLOOKUP(B23,'Price List EN VMware'!$A:$XFD,2,FALSE)),IF('1. Info'!$C$6="Français",(VLOOKUP(B23,'Liste de Prix FR VMware'!$A:$XFD,2,FALSE)),"#Error"))</f>
        <v>Ajoutez 1 adresse IP publique à vos 3 IP gratuites</v>
      </c>
      <c r="D23" s="99" t="str">
        <f>IF('1. Info'!$C$6="English",(VLOOKUP(B23,'Price List EN VMware'!$A:$XFD,3,FALSE)),IF('1. Info'!$C$6="Français",(VLOOKUP(B23,'Liste de Prix FR VMware'!$A:$XFD,3,FALSE)),"#Error"))</f>
        <v>1 IP publique</v>
      </c>
      <c r="E23" s="131" t="str">
        <f>IF('1. Info'!$C$6="English",(VLOOKUP(B23,'Price List EN VMware'!$A:$XFD,4,FALSE)),IF('1. Info'!$C$6="Français",(VLOOKUP(B23,'Liste de Prix FR VMware'!$A:$XFD,4,FALSE)),"#Error"))</f>
        <v>Mensuel</v>
      </c>
      <c r="F23" s="136">
        <f>IF('1. Info'!$C$6="English",IF('1. Info'!$C$8="USD",(VLOOKUP(B23,'Price List EN VMware'!$A:$XFD,5,FALSE)),IF('1. Info'!$C$8="CAD",(VLOOKUP(B23,'Price List EN VMware'!$A:$XFD,6,FALSE)),"#Error")),IF('1. Info'!$C$6="Français",IF('1. Info'!$C$8="USD",(VLOOKUP(B23,'Liste de Prix FR VMware'!$A:$XFD,5,FALSE)),IF('1. Info'!$C$8="CAD",(VLOOKUP(B23,'Liste de Prix FR VMware'!$A:$XFD,6,FALSE)),"#Error"))))</f>
        <v>6.75</v>
      </c>
      <c r="G23" s="104">
        <v>0</v>
      </c>
      <c r="H23" s="136">
        <f aca="true" t="shared" si="0" ref="H23:H30">F23*G23</f>
        <v>0</v>
      </c>
    </row>
    <row r="24" spans="2:8" ht="15">
      <c r="B24" s="99" t="str">
        <f>IF('1. Info'!$C$6="English",'Price List EN VMware'!A19,IF('1. Info'!$C$6="Français",'Liste de Prix FR VMware'!A19,"#Error"))</f>
        <v>Edge Services Gateway - Compact HA</v>
      </c>
      <c r="C24" s="99" t="str">
        <f>IF('1. Info'!$C$6="English",(VLOOKUP(B24,'Price List EN VMware'!$A:$XFD,2,FALSE)),IF('1. Info'!$C$6="Français",(VLOOKUP(B24,'Liste de Prix FR VMware'!$A:$XFD,2,FALSE)),"#Error"))</f>
        <v>Edge Services Gateway - Taille compacte, haute disponibilité</v>
      </c>
      <c r="D24" s="99" t="str">
        <f>IF('1. Info'!$C$6="English",(VLOOKUP(B24,'Price List EN VMware'!$A:$XFD,3,FALSE)),IF('1. Info'!$C$6="Français",(VLOOKUP(B24,'Liste de Prix FR VMware'!$A:$XFD,3,FALSE)),"#Error"))</f>
        <v>Passerelle</v>
      </c>
      <c r="E24" s="131" t="str">
        <f>IF('1. Info'!$C$6="English",(VLOOKUP(B24,'Price List EN VMware'!$A:$XFD,4,FALSE)),IF('1. Info'!$C$6="Français",(VLOOKUP(B24,'Liste de Prix FR VMware'!$A:$XFD,4,FALSE)),"#Error"))</f>
        <v>Mensuel</v>
      </c>
      <c r="F24" s="136">
        <f>IF('1. Info'!$C$6="English",IF('1. Info'!$C$8="USD",(VLOOKUP(B24,'Price List EN VMware'!$A:$XFD,5,FALSE)),IF('1. Info'!$C$8="CAD",(VLOOKUP(B24,'Price List EN VMware'!$A:$XFD,6,FALSE)),"#Error")),IF('1. Info'!$C$6="Français",IF('1. Info'!$C$8="USD",(VLOOKUP(B24,'Liste de Prix FR VMware'!$A:$XFD,5,FALSE)),IF('1. Info'!$C$8="CAD",(VLOOKUP(B24,'Liste de Prix FR VMware'!$A:$XFD,6,FALSE)),"#Error"))))</f>
        <v>33.59</v>
      </c>
      <c r="G24" s="104">
        <v>0</v>
      </c>
      <c r="H24" s="136">
        <f t="shared" si="0"/>
        <v>0</v>
      </c>
    </row>
    <row r="25" spans="2:8" ht="15">
      <c r="B25" s="99" t="str">
        <f>IF('1. Info'!$C$6="English",'Price List EN VMware'!A20,IF('1. Info'!$C$6="Français",'Liste de Prix FR VMware'!A20,"#Error"))</f>
        <v>Edge Services Gateway - Large</v>
      </c>
      <c r="C25" s="99" t="str">
        <f>IF('1. Info'!$C$6="English",(VLOOKUP(B25,'Price List EN VMware'!$A:$XFD,2,FALSE)),IF('1. Info'!$C$6="Français",(VLOOKUP(B25,'Liste de Prix FR VMware'!$A:$XFD,2,FALSE)),"#Error"))</f>
        <v>Edge Services Gateway - Taille large</v>
      </c>
      <c r="D25" s="99" t="str">
        <f>IF('1. Info'!$C$6="English",(VLOOKUP(B25,'Price List EN VMware'!$A:$XFD,3,FALSE)),IF('1. Info'!$C$6="Français",(VLOOKUP(B25,'Liste de Prix FR VMware'!$A:$XFD,3,FALSE)),"#Error"))</f>
        <v>Passerelle</v>
      </c>
      <c r="E25" s="131" t="str">
        <f>IF('1. Info'!$C$6="English",(VLOOKUP(B25,'Price List EN VMware'!$A:$XFD,4,FALSE)),IF('1. Info'!$C$6="Français",(VLOOKUP(B25,'Liste de Prix FR VMware'!$A:$XFD,4,FALSE)),"#Error"))</f>
        <v>Mensuel</v>
      </c>
      <c r="F25" s="136">
        <f>IF('1. Info'!$C$6="English",IF('1. Info'!$C$8="USD",(VLOOKUP(B25,'Price List EN VMware'!$A:$XFD,5,FALSE)),IF('1. Info'!$C$8="CAD",(VLOOKUP(B25,'Price List EN VMware'!$A:$XFD,6,FALSE)),"#Error")),IF('1. Info'!$C$6="Français",IF('1. Info'!$C$8="USD",(VLOOKUP(B25,'Liste de Prix FR VMware'!$A:$XFD,5,FALSE)),IF('1. Info'!$C$8="CAD",(VLOOKUP(B25,'Liste de Prix FR VMware'!$A:$XFD,6,FALSE)),"#Error"))))</f>
        <v>66.64</v>
      </c>
      <c r="G25" s="104">
        <v>0</v>
      </c>
      <c r="H25" s="136">
        <f t="shared" si="0"/>
        <v>0</v>
      </c>
    </row>
    <row r="26" spans="2:8" ht="15">
      <c r="B26" s="99" t="str">
        <f>IF('1. Info'!$C$6="English",'Price List EN VMware'!A21,IF('1. Info'!$C$6="Français",'Liste de Prix FR VMware'!A21,"#Error"))</f>
        <v>Edge Services Gateway - Large HA</v>
      </c>
      <c r="C26" s="99" t="str">
        <f>IF('1. Info'!$C$6="English",(VLOOKUP(B26,'Price List EN VMware'!$A:$XFD,2,FALSE)),IF('1. Info'!$C$6="Français",(VLOOKUP(B26,'Liste de Prix FR VMware'!$A:$XFD,2,FALSE)),"#Error"))</f>
        <v>Edge Services Gateway - Taille large, haute disponibilité</v>
      </c>
      <c r="D26" s="99" t="str">
        <f>IF('1. Info'!$C$6="English",(VLOOKUP(B26,'Price List EN VMware'!$A:$XFD,3,FALSE)),IF('1. Info'!$C$6="Français",(VLOOKUP(B26,'Liste de Prix FR VMware'!$A:$XFD,3,FALSE)),"#Error"))</f>
        <v>Passerelle</v>
      </c>
      <c r="E26" s="131" t="str">
        <f>IF('1. Info'!$C$6="English",(VLOOKUP(B26,'Price List EN VMware'!$A:$XFD,4,FALSE)),IF('1. Info'!$C$6="Français",(VLOOKUP(B26,'Liste de Prix FR VMware'!$A:$XFD,4,FALSE)),"#Error"))</f>
        <v>Mensuel</v>
      </c>
      <c r="F26" s="136">
        <f>IF('1. Info'!$C$6="English",IF('1. Info'!$C$8="USD",(VLOOKUP(B26,'Price List EN VMware'!$A:$XFD,5,FALSE)),IF('1. Info'!$C$8="CAD",(VLOOKUP(B26,'Price List EN VMware'!$A:$XFD,6,FALSE)),"#Error")),IF('1. Info'!$C$6="Français",IF('1. Info'!$C$8="USD",(VLOOKUP(B26,'Liste de Prix FR VMware'!$A:$XFD,5,FALSE)),IF('1. Info'!$C$8="CAD",(VLOOKUP(B26,'Liste de Prix FR VMware'!$A:$XFD,6,FALSE)),"#Error"))))</f>
        <v>133.27</v>
      </c>
      <c r="G26" s="104">
        <v>0</v>
      </c>
      <c r="H26" s="136">
        <f t="shared" si="0"/>
        <v>0</v>
      </c>
    </row>
    <row r="27" spans="2:8" ht="15">
      <c r="B27" s="99" t="str">
        <f>IF('1. Info'!$C$6="English",'Price List EN VMware'!A22,IF('1. Info'!$C$6="Français",'Liste de Prix FR VMware'!A22,"#Error"))</f>
        <v>Edge Services Gateway - Quad Large</v>
      </c>
      <c r="C27" s="99" t="str">
        <f>IF('1. Info'!$C$6="English",(VLOOKUP(B27,'Price List EN VMware'!$A:$XFD,2,FALSE)),IF('1. Info'!$C$6="Français",(VLOOKUP(B27,'Liste de Prix FR VMware'!$A:$XFD,2,FALSE)),"#Error"))</f>
        <v>Edge Services Gateway - Taille quad large</v>
      </c>
      <c r="D27" s="99" t="str">
        <f>IF('1. Info'!$C$6="English",(VLOOKUP(B27,'Price List EN VMware'!$A:$XFD,3,FALSE)),IF('1. Info'!$C$6="Français",(VLOOKUP(B27,'Liste de Prix FR VMware'!$A:$XFD,3,FALSE)),"#Error"))</f>
        <v>Passerelle</v>
      </c>
      <c r="E27" s="131" t="str">
        <f>IF('1. Info'!$C$6="English",(VLOOKUP(B27,'Price List EN VMware'!$A:$XFD,4,FALSE)),IF('1. Info'!$C$6="Français",(VLOOKUP(B27,'Liste de Prix FR VMware'!$A:$XFD,4,FALSE)),"#Error"))</f>
        <v>Mensuel</v>
      </c>
      <c r="F27" s="136">
        <f>IF('1. Info'!$C$6="English",IF('1. Info'!$C$8="USD",(VLOOKUP(B27,'Price List EN VMware'!$A:$XFD,5,FALSE)),IF('1. Info'!$C$8="CAD",(VLOOKUP(B27,'Price List EN VMware'!$A:$XFD,6,FALSE)),"#Error")),IF('1. Info'!$C$6="Français",IF('1. Info'!$C$8="USD",(VLOOKUP(B27,'Liste de Prix FR VMware'!$A:$XFD,5,FALSE)),IF('1. Info'!$C$8="CAD",(VLOOKUP(B27,'Liste de Prix FR VMware'!$A:$XFD,6,FALSE)),"#Error"))))</f>
        <v>133.15</v>
      </c>
      <c r="G27" s="104">
        <v>0</v>
      </c>
      <c r="H27" s="136">
        <f t="shared" si="0"/>
        <v>0</v>
      </c>
    </row>
    <row r="28" spans="2:8" ht="15">
      <c r="B28" s="99" t="str">
        <f>IF('1. Info'!$C$6="English",'Price List EN VMware'!A23,IF('1. Info'!$C$6="Français",'Liste de Prix FR VMware'!A23,"#Error"))</f>
        <v>Edge Services Gateway - Quad Large HA</v>
      </c>
      <c r="C28" s="99" t="str">
        <f>IF('1. Info'!$C$6="English",(VLOOKUP(B28,'Price List EN VMware'!$A:$XFD,2,FALSE)),IF('1. Info'!$C$6="Français",(VLOOKUP(B28,'Liste de Prix FR VMware'!$A:$XFD,2,FALSE)),"#Error"))</f>
        <v>Edge Services Gateway - Taille quad large, haute disponibilité</v>
      </c>
      <c r="D28" s="99" t="str">
        <f>IF('1. Info'!$C$6="English",(VLOOKUP(B28,'Price List EN VMware'!$A:$XFD,3,FALSE)),IF('1. Info'!$C$6="Français",(VLOOKUP(B28,'Liste de Prix FR VMware'!$A:$XFD,3,FALSE)),"#Error"))</f>
        <v>Passerelle</v>
      </c>
      <c r="E28" s="131" t="str">
        <f>IF('1. Info'!$C$6="English",(VLOOKUP(B28,'Price List EN VMware'!$A:$XFD,4,FALSE)),IF('1. Info'!$C$6="Français",(VLOOKUP(B28,'Liste de Prix FR VMware'!$A:$XFD,4,FALSE)),"#Error"))</f>
        <v>Mensuel</v>
      </c>
      <c r="F28" s="136">
        <f>IF('1. Info'!$C$6="English",IF('1. Info'!$C$8="USD",(VLOOKUP(B28,'Price List EN VMware'!$A:$XFD,5,FALSE)),IF('1. Info'!$C$8="CAD",(VLOOKUP(B28,'Price List EN VMware'!$A:$XFD,6,FALSE)),"#Error")),IF('1. Info'!$C$6="Français",IF('1. Info'!$C$8="USD",(VLOOKUP(B28,'Liste de Prix FR VMware'!$A:$XFD,5,FALSE)),IF('1. Info'!$C$8="CAD",(VLOOKUP(B28,'Liste de Prix FR VMware'!$A:$XFD,6,FALSE)),"#Error"))))</f>
        <v>266.29</v>
      </c>
      <c r="G28" s="104">
        <v>0</v>
      </c>
      <c r="H28" s="136">
        <f t="shared" si="0"/>
        <v>0</v>
      </c>
    </row>
    <row r="29" spans="2:8" ht="15">
      <c r="B29" s="99" t="str">
        <f>IF('1. Info'!$C$6="English",'Price List EN VMware'!A24,IF('1. Info'!$C$6="Français",'Liste de Prix FR VMware'!A24,"#Error"))</f>
        <v>Edge Services Gateway - Extra Large</v>
      </c>
      <c r="C29" s="99" t="str">
        <f>IF('1. Info'!$C$6="English",(VLOOKUP(B29,'Price List EN VMware'!$A:$XFD,2,FALSE)),IF('1. Info'!$C$6="Français",(VLOOKUP(B29,'Liste de Prix FR VMware'!$A:$XFD,2,FALSE)),"#Error"))</f>
        <v>Edge Services Gateway - Taille extra large</v>
      </c>
      <c r="D29" s="99" t="str">
        <f>IF('1. Info'!$C$6="English",(VLOOKUP(B29,'Price List EN VMware'!$A:$XFD,3,FALSE)),IF('1. Info'!$C$6="Français",(VLOOKUP(B29,'Liste de Prix FR VMware'!$A:$XFD,3,FALSE)),"#Error"))</f>
        <v>Passerelle</v>
      </c>
      <c r="E29" s="131" t="str">
        <f>IF('1. Info'!$C$6="English",(VLOOKUP(B29,'Price List EN VMware'!$A:$XFD,4,FALSE)),IF('1. Info'!$C$6="Français",(VLOOKUP(B29,'Liste de Prix FR VMware'!$A:$XFD,4,FALSE)),"#Error"))</f>
        <v>Mensuel</v>
      </c>
      <c r="F29" s="136">
        <f>IF('1. Info'!$C$6="English",IF('1. Info'!$C$8="USD",(VLOOKUP(B29,'Price List EN VMware'!$A:$XFD,5,FALSE)),IF('1. Info'!$C$8="CAD",(VLOOKUP(B29,'Price List EN VMware'!$A:$XFD,6,FALSE)),"#Error")),IF('1. Info'!$C$6="Français",IF('1. Info'!$C$8="USD",(VLOOKUP(B29,'Liste de Prix FR VMware'!$A:$XFD,5,FALSE)),IF('1. Info'!$C$8="CAD",(VLOOKUP(B29,'Liste de Prix FR VMware'!$A:$XFD,6,FALSE)),"#Error"))))</f>
        <v>261.77</v>
      </c>
      <c r="G29" s="104">
        <v>0</v>
      </c>
      <c r="H29" s="136">
        <f t="shared" si="0"/>
        <v>0</v>
      </c>
    </row>
    <row r="30" spans="2:8" ht="15">
      <c r="B30" s="99" t="str">
        <f>IF('1. Info'!$C$6="English",'Price List EN VMware'!A25,IF('1. Info'!$C$6="Français",'Liste de Prix FR VMware'!A25,"#Error"))</f>
        <v>Edge Services Gateway - Extra Large HA</v>
      </c>
      <c r="C30" s="99" t="str">
        <f>IF('1. Info'!$C$6="English",(VLOOKUP(B30,'Price List EN VMware'!$A:$XFD,2,FALSE)),IF('1. Info'!$C$6="Français",(VLOOKUP(B30,'Liste de Prix FR VMware'!$A:$XFD,2,FALSE)),"#Error"))</f>
        <v>Edge Services Gateway - Taille extra large, haute disponibilité</v>
      </c>
      <c r="D30" s="99" t="str">
        <f>IF('1. Info'!$C$6="English",(VLOOKUP(B30,'Price List EN VMware'!$A:$XFD,3,FALSE)),IF('1. Info'!$C$6="Français",(VLOOKUP(B30,'Liste de Prix FR VMware'!$A:$XFD,3,FALSE)),"#Error"))</f>
        <v>Passerelle</v>
      </c>
      <c r="E30" s="131" t="str">
        <f>IF('1. Info'!$C$6="English",(VLOOKUP(B30,'Price List EN VMware'!$A:$XFD,4,FALSE)),IF('1. Info'!$C$6="Français",(VLOOKUP(B30,'Liste de Prix FR VMware'!$A:$XFD,4,FALSE)),"#Error"))</f>
        <v>Mensuel</v>
      </c>
      <c r="F30" s="136">
        <f>IF('1. Info'!$C$6="English",IF('1. Info'!$C$8="USD",(VLOOKUP(B30,'Price List EN VMware'!$A:$XFD,5,FALSE)),IF('1. Info'!$C$8="CAD",(VLOOKUP(B30,'Price List EN VMware'!$A:$XFD,6,FALSE)),"#Error")),IF('1. Info'!$C$6="Français",IF('1. Info'!$C$8="USD",(VLOOKUP(B30,'Liste de Prix FR VMware'!$A:$XFD,5,FALSE)),IF('1. Info'!$C$8="CAD",(VLOOKUP(B30,'Liste de Prix FR VMware'!$A:$XFD,6,FALSE)),"#Error"))))</f>
        <v>523.54</v>
      </c>
      <c r="G30" s="104">
        <v>0</v>
      </c>
      <c r="H30" s="136">
        <f t="shared" si="0"/>
        <v>0</v>
      </c>
    </row>
    <row r="31" spans="2:8" ht="15">
      <c r="B31" s="171"/>
      <c r="C31" s="171"/>
      <c r="D31" s="171"/>
      <c r="E31" s="171"/>
      <c r="F31" s="171"/>
      <c r="G31" s="171"/>
      <c r="H31" s="171"/>
    </row>
    <row r="32" spans="2:8" ht="18.5" thickBot="1">
      <c r="B32" s="169" t="str">
        <f>IF('1. Info'!$C$6="English","MONTHLY TOTAL",IF('1. Info'!$C$6="Français","TOTAL MENSUEL","#Error"))</f>
        <v>TOTAL MENSUEL</v>
      </c>
      <c r="C32" s="169"/>
      <c r="D32" s="169"/>
      <c r="E32" s="169"/>
      <c r="F32" s="169"/>
      <c r="G32" s="170">
        <f>SUM(H5:H31)</f>
        <v>199.8376</v>
      </c>
      <c r="H32" s="170"/>
    </row>
    <row r="35" spans="2:8" ht="15" customHeight="1">
      <c r="B35" s="175" t="str">
        <f>IF('1. Info'!$C$6="English",Variables!$K$3,IF('1. Info'!$C$6="Français",Variables!$K$5,"N/A"))</f>
        <v>Avertissement: Les clients ne devraient pas utiliser l'entièreté de leur quota de stockage puisque les captures de disque manuelles, captures de disque automatisées pour les sauvegardes et l'espace de swap des machines virtuelles (fichier de pagination où 1Go RAM = 1Go stockage) nécessitent tous de l'espace disque. Ces items comptent dans l'espace de stockage du client, dans le même tier que la stratégie de stockage pré-définie en utilisation par la machine virtuelle. La même chose s'applique pour le stockage de sauvegarde, donc les clients sont encouragés de prévoir environ 20% d'espace libre sur tous les types de stockage. Les termes Performance Cloud VMware pour 1 ou 3 années s'appliquent uniquement aux Services Essentiels.</v>
      </c>
      <c r="C35" s="175"/>
      <c r="D35" s="175"/>
      <c r="E35" s="175"/>
      <c r="F35" s="175"/>
      <c r="G35" s="175"/>
      <c r="H35" s="175"/>
    </row>
    <row r="36" spans="2:8" ht="15">
      <c r="B36" s="175"/>
      <c r="C36" s="175"/>
      <c r="D36" s="175"/>
      <c r="E36" s="175"/>
      <c r="F36" s="175"/>
      <c r="G36" s="175"/>
      <c r="H36" s="175"/>
    </row>
    <row r="37" spans="2:8" ht="15">
      <c r="B37" s="176"/>
      <c r="C37" s="176"/>
      <c r="D37" s="176"/>
      <c r="E37" s="177"/>
      <c r="F37" s="178"/>
      <c r="G37" s="179"/>
      <c r="H37" s="178"/>
    </row>
    <row r="38" spans="2:8" ht="15">
      <c r="B38" s="176"/>
      <c r="C38" s="176"/>
      <c r="D38" s="176"/>
      <c r="E38" s="177"/>
      <c r="F38" s="178"/>
      <c r="G38" s="179"/>
      <c r="H38" s="178"/>
    </row>
    <row r="39" spans="2:8" ht="15">
      <c r="B39" s="175"/>
      <c r="C39" s="175"/>
      <c r="D39" s="175"/>
      <c r="E39" s="175"/>
      <c r="F39" s="175"/>
      <c r="G39" s="175"/>
      <c r="H39" s="175"/>
    </row>
  </sheetData>
  <sheetProtection algorithmName="SHA-512" hashValue="8UVabcOcbGFQDPNpQQyTLp77HNzwU36RarpXdd3JFSYrwBEZBg8vAZFl0vDywjuFuh7U+pCU1JnnJCJlp3E6dA==" saltValue="PDTQrKHD8N8YgiK5QUX8Cw==" spinCount="100000" sheet="1" formatCells="0" formatRows="0" insertColumns="0" insertRows="0" deleteRows="0"/>
  <mergeCells count="7">
    <mergeCell ref="B3:H3"/>
    <mergeCell ref="B5:H5"/>
    <mergeCell ref="B15:H15"/>
    <mergeCell ref="B35:H39"/>
    <mergeCell ref="B31:H31"/>
    <mergeCell ref="B32:F32"/>
    <mergeCell ref="G32:H32"/>
  </mergeCells>
  <conditionalFormatting sqref="G32:H32">
    <cfRule type="expression" priority="7" dxfId="1">
      <formula>'1. Info'!$C$8="USD"</formula>
    </cfRule>
    <cfRule type="expression" priority="8" dxfId="0">
      <formula>'1. Info'!$C$8="CAD"</formula>
    </cfRule>
  </conditionalFormatting>
  <dataValidations count="6">
    <dataValidation operator="greaterThanOrEqual" allowBlank="1" showInputMessage="1" showErrorMessage="1" error="Please enter a valid number / Veuillez entrer un nombre valide" sqref="G13"/>
    <dataValidation type="decimal" operator="greaterThanOrEqual" allowBlank="1" showInputMessage="1" showErrorMessage="1" error="Please enter a valid number / Veuillez entrer un nombre valide" sqref="G6 G12 G22 G16:G17 G14">
      <formula1>0</formula1>
    </dataValidation>
    <dataValidation type="whole" allowBlank="1" showInputMessage="1" showErrorMessage="1" sqref="G7:G10">
      <formula1>0</formula1>
      <formula2>1</formula2>
    </dataValidation>
    <dataValidation type="whole" operator="greaterThanOrEqual" allowBlank="1" showInputMessage="1" showErrorMessage="1" error="Please enter a valid number / Veuillez entrer un nombre valide" sqref="G23:G30 G11:G13">
      <formula1>0</formula1>
    </dataValidation>
    <dataValidation type="decimal" operator="equal" allowBlank="1" showInputMessage="1" showErrorMessage="1" error="A minimum of 2 licenses per SQL server is required / Un minimum de 2 licences par serveur SQL est requis" sqref="G18:G20">
      <formula1>IF(OR(G18&lt;0,G18=1),0,G18)</formula1>
    </dataValidation>
    <dataValidation type="whole" operator="greaterThanOrEqual" allowBlank="1" showInputMessage="1" showErrorMessage="1" sqref="G21">
      <formula1>0</formula1>
    </dataValidation>
  </dataValidations>
  <printOptions/>
  <pageMargins left="0.7" right="0.7" top="0.75" bottom="0.75" header="0.3" footer="0.3"/>
  <pageSetup fitToHeight="1" fitToWidth="1" horizontalDpi="600" verticalDpi="600" orientation="landscape" scale="65" r:id="rId2"/>
  <drawing r:id="rId1"/>
  <extLst>
    <ext xmlns:x14="http://schemas.microsoft.com/office/spreadsheetml/2009/9/main" uri="{78C0D931-6437-407d-A8EE-F0AAD7539E65}">
      <x14:conditionalFormattings>
        <x14:conditionalFormatting xmlns:xm="http://schemas.microsoft.com/office/excel/2006/main">
          <x14:cfRule type="expression" priority="7">
            <xm:f>'1. Info'!$C$8="USD"</xm:f>
            <x14:dxf/>
          </x14:cfRule>
          <x14:cfRule type="expression" priority="8">
            <xm:f>'1. Info'!$C$8="CAD"</xm:f>
            <x14:dxf/>
          </x14:cfRule>
          <xm:sqref>G32:H32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25FF4-B10B-43CC-A4E0-049B841394C8}">
  <sheetPr>
    <tabColor rgb="FFFFC000"/>
  </sheetPr>
  <dimension ref="B1:L10"/>
  <sheetViews>
    <sheetView showRowColHeaders="0" workbookViewId="0" topLeftCell="A1">
      <selection activeCell="C7" sqref="C7"/>
    </sheetView>
  </sheetViews>
  <sheetFormatPr defaultColWidth="9.140625" defaultRowHeight="15"/>
  <cols>
    <col min="1" max="1" width="3.421875" style="46" customWidth="1"/>
    <col min="2" max="2" width="39.7109375" style="46" customWidth="1"/>
    <col min="3" max="3" width="68.00390625" style="46" customWidth="1"/>
    <col min="4" max="4" width="19.7109375" style="46" customWidth="1"/>
    <col min="5" max="5" width="15.7109375" style="128" customWidth="1"/>
    <col min="6" max="6" width="15.7109375" style="48" bestFit="1" customWidth="1"/>
    <col min="7" max="7" width="6.57421875" style="49" bestFit="1" customWidth="1"/>
    <col min="8" max="8" width="16.57421875" style="48" customWidth="1"/>
  </cols>
  <sheetData>
    <row r="1" spans="5:8" s="46" customFormat="1" ht="40.4" customHeight="1">
      <c r="E1" s="128"/>
      <c r="F1" s="48"/>
      <c r="G1" s="49"/>
      <c r="H1" s="48"/>
    </row>
    <row r="2" spans="2:8" s="90" customFormat="1" ht="29.15" customHeight="1">
      <c r="B2" s="50" t="s">
        <v>11</v>
      </c>
      <c r="C2" s="91"/>
      <c r="D2" s="92"/>
      <c r="E2" s="129"/>
      <c r="F2" s="108"/>
      <c r="G2" s="93"/>
      <c r="H2" s="108"/>
    </row>
    <row r="3" spans="2:8" s="46" customFormat="1" ht="52.5" customHeight="1">
      <c r="B3" s="166" t="s">
        <v>12</v>
      </c>
      <c r="C3" s="166"/>
      <c r="D3" s="166"/>
      <c r="E3" s="166"/>
      <c r="F3" s="166"/>
      <c r="G3" s="166"/>
      <c r="H3" s="166"/>
    </row>
    <row r="4" spans="2:8" s="60" customFormat="1" ht="28">
      <c r="B4" s="106" t="s">
        <v>13</v>
      </c>
      <c r="C4" s="106" t="s">
        <v>14</v>
      </c>
      <c r="D4" s="106" t="s">
        <v>15</v>
      </c>
      <c r="E4" s="57" t="s">
        <v>16</v>
      </c>
      <c r="F4" s="58" t="s">
        <v>17</v>
      </c>
      <c r="G4" s="59" t="s">
        <v>18</v>
      </c>
      <c r="H4" s="58" t="s">
        <v>19</v>
      </c>
    </row>
    <row r="5" spans="2:8" s="60" customFormat="1" ht="14">
      <c r="B5" s="174" t="s">
        <v>20</v>
      </c>
      <c r="C5" s="174"/>
      <c r="D5" s="174"/>
      <c r="E5" s="174"/>
      <c r="F5" s="174"/>
      <c r="G5" s="174"/>
      <c r="H5" s="174"/>
    </row>
    <row r="6" spans="2:8" s="46" customFormat="1" ht="14">
      <c r="B6" s="61" t="s">
        <v>21</v>
      </c>
      <c r="C6" s="61"/>
      <c r="D6" s="61"/>
      <c r="E6" s="138"/>
      <c r="F6" s="63"/>
      <c r="G6" s="64"/>
      <c r="H6" s="63"/>
    </row>
    <row r="7" spans="2:8" s="46" customFormat="1" ht="14">
      <c r="B7" s="65" t="s">
        <v>22</v>
      </c>
      <c r="C7" s="65" t="s">
        <v>23</v>
      </c>
      <c r="D7" s="65" t="s">
        <v>24</v>
      </c>
      <c r="E7" s="139" t="s">
        <v>25</v>
      </c>
      <c r="F7" s="67">
        <v>7</v>
      </c>
      <c r="G7" s="68">
        <v>0</v>
      </c>
      <c r="H7" s="67">
        <f>F7*G7</f>
        <v>0</v>
      </c>
    </row>
    <row r="8" spans="2:8" s="46" customFormat="1" ht="14">
      <c r="B8" s="65" t="s">
        <v>26</v>
      </c>
      <c r="C8" s="65" t="s">
        <v>27</v>
      </c>
      <c r="D8" s="65" t="s">
        <v>28</v>
      </c>
      <c r="E8" s="139" t="s">
        <v>25</v>
      </c>
      <c r="F8" s="67">
        <v>0.02</v>
      </c>
      <c r="G8" s="68">
        <v>0</v>
      </c>
      <c r="H8" s="67">
        <f>F8*G8</f>
        <v>0</v>
      </c>
    </row>
    <row r="9" spans="2:12" s="109" customFormat="1" ht="14">
      <c r="B9" s="171"/>
      <c r="C9" s="171"/>
      <c r="D9" s="171"/>
      <c r="E9" s="171"/>
      <c r="F9" s="171"/>
      <c r="G9" s="171"/>
      <c r="H9" s="171"/>
      <c r="I9" s="46"/>
      <c r="J9" s="46"/>
      <c r="K9" s="46"/>
      <c r="L9" s="46"/>
    </row>
    <row r="10" spans="2:12" s="109" customFormat="1" ht="18.5" thickBot="1">
      <c r="B10" s="169" t="s">
        <v>29</v>
      </c>
      <c r="C10" s="169"/>
      <c r="D10" s="169"/>
      <c r="E10" s="169"/>
      <c r="F10" s="169"/>
      <c r="G10" s="170">
        <f>SUM(H6:H8)</f>
        <v>0</v>
      </c>
      <c r="H10" s="170"/>
      <c r="I10" s="46"/>
      <c r="J10" s="46"/>
      <c r="K10" s="46"/>
      <c r="L10" s="46"/>
    </row>
  </sheetData>
  <sheetProtection algorithmName="SHA-512" hashValue="T8CgJZWYHFkDEBaGxAPyo77rghh+tqOsYfhklEBy+y6di3E5IGsOwXJpF/+nA5Hgg3ZIWrMkm3WZck3NEgnQ/w==" saltValue="rgusXOkX8ksa1VpxTCIzKg==" spinCount="100000" sheet="1" objects="1" scenarios="1"/>
  <mergeCells count="5">
    <mergeCell ref="B3:H3"/>
    <mergeCell ref="B5:H5"/>
    <mergeCell ref="B9:H9"/>
    <mergeCell ref="B10:F10"/>
    <mergeCell ref="G10:H10"/>
  </mergeCells>
  <dataValidations count="2">
    <dataValidation type="whole" operator="greaterThanOrEqual" allowBlank="1" showInputMessage="1" showErrorMessage="1" sqref="G7:G8">
      <formula1>0</formula1>
    </dataValidation>
    <dataValidation type="decimal" operator="greaterThanOrEqual" allowBlank="1" showInputMessage="1" showErrorMessage="1" error="Please enter a valid number / Veuillez entrer un nombre valide" sqref="G6">
      <formula1>0</formula1>
    </dataValidation>
  </dataValidation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74387-707C-47EE-9810-6DEECC29B1DF}">
  <dimension ref="A1:M209"/>
  <sheetViews>
    <sheetView tabSelected="1" workbookViewId="0" topLeftCell="A1">
      <selection activeCell="B202" sqref="B202"/>
    </sheetView>
  </sheetViews>
  <sheetFormatPr defaultColWidth="9.28125" defaultRowHeight="15"/>
  <cols>
    <col min="1" max="1" width="52.28125" style="0" customWidth="1"/>
    <col min="2" max="2" width="68.7109375" style="0" customWidth="1"/>
    <col min="3" max="3" width="13.8515625" style="0" customWidth="1"/>
    <col min="4" max="4" width="13.57421875" style="0" customWidth="1"/>
    <col min="6" max="6" width="14.57421875" style="0" customWidth="1"/>
    <col min="8" max="8" width="15.421875" style="0" customWidth="1"/>
    <col min="10" max="10" width="16.7109375" style="5" bestFit="1" customWidth="1"/>
  </cols>
  <sheetData>
    <row r="1" spans="1:10" ht="25">
      <c r="A1" s="110" t="s">
        <v>13</v>
      </c>
      <c r="B1" s="110" t="s">
        <v>14</v>
      </c>
      <c r="C1" s="110" t="s">
        <v>15</v>
      </c>
      <c r="D1" s="111" t="s">
        <v>30</v>
      </c>
      <c r="E1" s="111" t="s">
        <v>31</v>
      </c>
      <c r="F1" s="112" t="s">
        <v>32</v>
      </c>
      <c r="G1" s="113" t="s">
        <v>18</v>
      </c>
      <c r="H1" s="112" t="s">
        <v>19</v>
      </c>
      <c r="I1" s="112" t="s">
        <v>33</v>
      </c>
      <c r="J1" s="112" t="s">
        <v>34</v>
      </c>
    </row>
    <row r="2" spans="1:10" ht="15">
      <c r="A2" s="114" t="s">
        <v>35</v>
      </c>
      <c r="B2" s="114"/>
      <c r="C2" s="114"/>
      <c r="D2" s="114"/>
      <c r="E2" s="114"/>
      <c r="F2" s="114"/>
      <c r="G2" s="114"/>
      <c r="H2" s="114"/>
      <c r="I2" s="114"/>
      <c r="J2" s="114"/>
    </row>
    <row r="3" spans="1:10" ht="24">
      <c r="A3" s="115" t="s">
        <v>36</v>
      </c>
      <c r="B3" s="115"/>
      <c r="C3" s="115" t="s">
        <v>15</v>
      </c>
      <c r="D3" s="116" t="s">
        <v>30</v>
      </c>
      <c r="E3" s="116" t="s">
        <v>31</v>
      </c>
      <c r="F3" s="117" t="s">
        <v>32</v>
      </c>
      <c r="G3" s="118" t="s">
        <v>18</v>
      </c>
      <c r="H3" s="117" t="s">
        <v>19</v>
      </c>
      <c r="I3" s="117" t="s">
        <v>33</v>
      </c>
      <c r="J3" s="117" t="s">
        <v>34</v>
      </c>
    </row>
    <row r="4" spans="1:10" ht="15">
      <c r="A4" s="119" t="s">
        <v>37</v>
      </c>
      <c r="B4" s="119" t="s">
        <v>38</v>
      </c>
      <c r="C4" s="119" t="s">
        <v>39</v>
      </c>
      <c r="D4" s="120" t="s">
        <v>25</v>
      </c>
      <c r="E4" s="120" t="s">
        <v>4</v>
      </c>
      <c r="F4" s="121">
        <v>0.129298</v>
      </c>
      <c r="G4" s="122">
        <v>541000</v>
      </c>
      <c r="H4" s="123">
        <f aca="true" t="shared" si="0" ref="H4:H11">F4*G4</f>
        <v>69950.218</v>
      </c>
      <c r="I4">
        <v>36</v>
      </c>
      <c r="J4" s="124">
        <f aca="true" t="shared" si="1" ref="J4:J11">H4*I4</f>
        <v>2518207.8479999998</v>
      </c>
    </row>
    <row r="5" spans="1:10" ht="15">
      <c r="A5" s="119" t="s">
        <v>37</v>
      </c>
      <c r="B5" s="119" t="s">
        <v>40</v>
      </c>
      <c r="C5" s="119" t="s">
        <v>39</v>
      </c>
      <c r="D5" s="120" t="s">
        <v>25</v>
      </c>
      <c r="E5" s="120" t="s">
        <v>4</v>
      </c>
      <c r="F5" s="121">
        <v>0.193947</v>
      </c>
      <c r="G5" s="122">
        <v>541000</v>
      </c>
      <c r="H5" s="123">
        <f t="shared" si="0"/>
        <v>104925.327</v>
      </c>
      <c r="I5">
        <v>24</v>
      </c>
      <c r="J5" s="124">
        <f t="shared" si="1"/>
        <v>2518207.848</v>
      </c>
    </row>
    <row r="6" spans="1:10" ht="15">
      <c r="A6" s="119" t="s">
        <v>37</v>
      </c>
      <c r="B6" s="119" t="s">
        <v>41</v>
      </c>
      <c r="C6" s="119" t="s">
        <v>39</v>
      </c>
      <c r="D6" s="120" t="s">
        <v>25</v>
      </c>
      <c r="E6" s="120" t="s">
        <v>4</v>
      </c>
      <c r="F6" s="121">
        <v>0.387894</v>
      </c>
      <c r="G6" s="122">
        <v>541000</v>
      </c>
      <c r="H6" s="123">
        <f t="shared" si="0"/>
        <v>209850.654</v>
      </c>
      <c r="I6">
        <v>12</v>
      </c>
      <c r="J6" s="124">
        <f t="shared" si="1"/>
        <v>2518207.848</v>
      </c>
    </row>
    <row r="7" spans="1:10" ht="15">
      <c r="A7" s="119" t="s">
        <v>37</v>
      </c>
      <c r="B7" s="119" t="s">
        <v>42</v>
      </c>
      <c r="C7" s="119" t="s">
        <v>39</v>
      </c>
      <c r="D7" s="120" t="s">
        <v>25</v>
      </c>
      <c r="E7" s="120" t="s">
        <v>4</v>
      </c>
      <c r="F7" s="121">
        <v>0.586998</v>
      </c>
      <c r="G7" s="122">
        <v>541000</v>
      </c>
      <c r="H7" s="123">
        <f t="shared" si="0"/>
        <v>317565.918</v>
      </c>
      <c r="I7">
        <v>1</v>
      </c>
      <c r="J7" s="124">
        <f t="shared" si="1"/>
        <v>317565.918</v>
      </c>
    </row>
    <row r="8" spans="1:10" ht="15">
      <c r="A8" s="119" t="s">
        <v>37</v>
      </c>
      <c r="B8" s="119" t="s">
        <v>43</v>
      </c>
      <c r="C8" s="119" t="s">
        <v>39</v>
      </c>
      <c r="D8" s="120" t="s">
        <v>25</v>
      </c>
      <c r="E8" s="120" t="s">
        <v>4</v>
      </c>
      <c r="F8" s="121">
        <v>0.0223567</v>
      </c>
      <c r="G8" s="122">
        <v>541000</v>
      </c>
      <c r="H8" s="123">
        <f t="shared" si="0"/>
        <v>12094.9747</v>
      </c>
      <c r="I8">
        <v>36</v>
      </c>
      <c r="J8" s="124">
        <f t="shared" si="1"/>
        <v>435419.08920000005</v>
      </c>
    </row>
    <row r="9" spans="1:10" ht="15">
      <c r="A9" s="119" t="s">
        <v>37</v>
      </c>
      <c r="B9" s="119" t="s">
        <v>44</v>
      </c>
      <c r="C9" s="119" t="s">
        <v>39</v>
      </c>
      <c r="D9" s="120" t="s">
        <v>25</v>
      </c>
      <c r="E9" s="120" t="s">
        <v>4</v>
      </c>
      <c r="F9" s="121">
        <v>0.033536</v>
      </c>
      <c r="G9" s="122">
        <v>541000</v>
      </c>
      <c r="H9" s="123">
        <f t="shared" si="0"/>
        <v>18142.976000000002</v>
      </c>
      <c r="I9">
        <v>24</v>
      </c>
      <c r="J9" s="124">
        <f t="shared" si="1"/>
        <v>435431.42400000006</v>
      </c>
    </row>
    <row r="10" spans="1:10" ht="15">
      <c r="A10" s="119" t="s">
        <v>37</v>
      </c>
      <c r="B10" s="119" t="s">
        <v>45</v>
      </c>
      <c r="C10" s="119" t="s">
        <v>39</v>
      </c>
      <c r="D10" s="120" t="s">
        <v>25</v>
      </c>
      <c r="E10" s="120" t="s">
        <v>4</v>
      </c>
      <c r="F10" s="121">
        <v>0.067072</v>
      </c>
      <c r="G10" s="122">
        <v>541000</v>
      </c>
      <c r="H10" s="123">
        <f t="shared" si="0"/>
        <v>36285.952000000005</v>
      </c>
      <c r="I10">
        <v>12</v>
      </c>
      <c r="J10" s="124">
        <f t="shared" si="1"/>
        <v>435431.42400000006</v>
      </c>
    </row>
    <row r="11" spans="1:10" ht="15">
      <c r="A11" s="119" t="s">
        <v>37</v>
      </c>
      <c r="B11" s="119" t="s">
        <v>46</v>
      </c>
      <c r="C11" s="119" t="s">
        <v>39</v>
      </c>
      <c r="D11" s="120" t="s">
        <v>25</v>
      </c>
      <c r="E11" s="120" t="s">
        <v>4</v>
      </c>
      <c r="F11" s="121">
        <v>0.354478</v>
      </c>
      <c r="G11" s="122">
        <v>541000</v>
      </c>
      <c r="H11" s="123">
        <f t="shared" si="0"/>
        <v>191772.598</v>
      </c>
      <c r="I11">
        <v>1</v>
      </c>
      <c r="J11" s="124">
        <f t="shared" si="1"/>
        <v>191772.598</v>
      </c>
    </row>
    <row r="12" spans="1:10" ht="15">
      <c r="A12" s="119"/>
      <c r="B12" s="119"/>
      <c r="C12" s="119"/>
      <c r="D12" s="120"/>
      <c r="E12" s="120"/>
      <c r="F12" s="121"/>
      <c r="G12" s="122"/>
      <c r="H12" s="123"/>
      <c r="J12" s="124"/>
    </row>
    <row r="13" spans="1:10" ht="24">
      <c r="A13" s="115" t="s">
        <v>47</v>
      </c>
      <c r="B13" s="115"/>
      <c r="C13" s="115" t="s">
        <v>15</v>
      </c>
      <c r="D13" s="116" t="s">
        <v>30</v>
      </c>
      <c r="E13" s="116" t="s">
        <v>31</v>
      </c>
      <c r="F13" s="117" t="s">
        <v>32</v>
      </c>
      <c r="G13" s="118" t="s">
        <v>18</v>
      </c>
      <c r="H13" s="117" t="s">
        <v>48</v>
      </c>
      <c r="I13" s="117" t="s">
        <v>49</v>
      </c>
      <c r="J13" s="117" t="s">
        <v>34</v>
      </c>
    </row>
    <row r="14" spans="1:10" ht="40.9" customHeight="1">
      <c r="A14" s="180" t="s">
        <v>50</v>
      </c>
      <c r="B14" s="180"/>
      <c r="C14" s="180"/>
      <c r="D14" s="180"/>
      <c r="E14" s="180"/>
      <c r="F14" s="149"/>
      <c r="G14" s="119"/>
      <c r="H14" s="119"/>
      <c r="I14" s="119"/>
      <c r="J14" s="119"/>
    </row>
    <row r="15" spans="1:10" ht="15">
      <c r="A15" s="119" t="s">
        <v>51</v>
      </c>
      <c r="B15" s="119" t="s">
        <v>52</v>
      </c>
      <c r="C15" s="119" t="s">
        <v>53</v>
      </c>
      <c r="D15" s="120" t="s">
        <v>25</v>
      </c>
      <c r="E15" s="120" t="s">
        <v>4</v>
      </c>
      <c r="F15" s="123">
        <f aca="true" t="shared" si="2" ref="F15:F17">H15/G15</f>
        <v>603593.08</v>
      </c>
      <c r="G15">
        <v>1</v>
      </c>
      <c r="H15" s="123">
        <f aca="true" t="shared" si="3" ref="H15:H17">J15/I15</f>
        <v>603593.08</v>
      </c>
      <c r="I15">
        <v>1</v>
      </c>
      <c r="J15" s="124">
        <v>603593.08</v>
      </c>
    </row>
    <row r="16" spans="1:10" ht="15">
      <c r="A16" s="119" t="s">
        <v>51</v>
      </c>
      <c r="B16" s="119" t="s">
        <v>54</v>
      </c>
      <c r="C16" s="119" t="s">
        <v>53</v>
      </c>
      <c r="D16" s="120" t="s">
        <v>25</v>
      </c>
      <c r="E16" s="120" t="s">
        <v>4</v>
      </c>
      <c r="F16" s="123">
        <f t="shared" si="2"/>
        <v>301796.54</v>
      </c>
      <c r="G16">
        <v>1</v>
      </c>
      <c r="H16" s="123">
        <f t="shared" si="3"/>
        <v>301796.54</v>
      </c>
      <c r="I16">
        <v>2</v>
      </c>
      <c r="J16" s="124">
        <v>603593.08</v>
      </c>
    </row>
    <row r="17" spans="1:10" ht="15">
      <c r="A17" s="119" t="s">
        <v>51</v>
      </c>
      <c r="B17" s="119" t="s">
        <v>55</v>
      </c>
      <c r="C17" s="119" t="s">
        <v>53</v>
      </c>
      <c r="D17" s="120" t="s">
        <v>25</v>
      </c>
      <c r="E17" s="120" t="s">
        <v>4</v>
      </c>
      <c r="F17" s="123">
        <f t="shared" si="2"/>
        <v>201197.69333333333</v>
      </c>
      <c r="G17">
        <v>1</v>
      </c>
      <c r="H17" s="123">
        <f t="shared" si="3"/>
        <v>201197.69333333333</v>
      </c>
      <c r="I17">
        <v>3</v>
      </c>
      <c r="J17" s="124">
        <v>603593.08</v>
      </c>
    </row>
    <row r="18" spans="1:10" ht="15">
      <c r="A18" s="119" t="s">
        <v>51</v>
      </c>
      <c r="B18" s="119" t="s">
        <v>56</v>
      </c>
      <c r="C18" s="119" t="s">
        <v>57</v>
      </c>
      <c r="D18" s="120" t="s">
        <v>58</v>
      </c>
      <c r="E18" s="120" t="s">
        <v>59</v>
      </c>
      <c r="F18" s="123">
        <v>220</v>
      </c>
      <c r="G18">
        <v>1</v>
      </c>
      <c r="H18" s="123">
        <v>220</v>
      </c>
      <c r="I18">
        <v>3</v>
      </c>
      <c r="J18" s="124">
        <f aca="true" t="shared" si="4" ref="J18:J21">H18*I18</f>
        <v>660</v>
      </c>
    </row>
    <row r="19" spans="1:10" ht="15">
      <c r="A19" s="119" t="s">
        <v>51</v>
      </c>
      <c r="B19" s="119" t="s">
        <v>60</v>
      </c>
      <c r="C19" s="119" t="s">
        <v>57</v>
      </c>
      <c r="D19" s="120" t="s">
        <v>58</v>
      </c>
      <c r="E19" s="120" t="s">
        <v>59</v>
      </c>
      <c r="F19" s="123">
        <v>100</v>
      </c>
      <c r="G19">
        <v>1</v>
      </c>
      <c r="H19" s="123">
        <v>100</v>
      </c>
      <c r="I19">
        <v>3</v>
      </c>
      <c r="J19" s="124">
        <f t="shared" si="4"/>
        <v>300</v>
      </c>
    </row>
    <row r="20" spans="1:13" ht="15">
      <c r="A20" s="119" t="s">
        <v>51</v>
      </c>
      <c r="B20" s="119" t="s">
        <v>61</v>
      </c>
      <c r="C20" s="119" t="s">
        <v>57</v>
      </c>
      <c r="D20" s="120" t="s">
        <v>58</v>
      </c>
      <c r="E20" s="120" t="s">
        <v>59</v>
      </c>
      <c r="F20" s="123">
        <v>352</v>
      </c>
      <c r="G20">
        <v>1</v>
      </c>
      <c r="H20" s="123">
        <f>F20*G20</f>
        <v>352</v>
      </c>
      <c r="I20">
        <v>1</v>
      </c>
      <c r="J20" s="124">
        <f t="shared" si="4"/>
        <v>352</v>
      </c>
      <c r="M20" s="123"/>
    </row>
    <row r="21" spans="1:13" ht="15">
      <c r="A21" s="119" t="s">
        <v>51</v>
      </c>
      <c r="B21" s="119" t="s">
        <v>62</v>
      </c>
      <c r="C21" s="119" t="s">
        <v>57</v>
      </c>
      <c r="D21" s="120" t="s">
        <v>58</v>
      </c>
      <c r="E21" s="120" t="s">
        <v>59</v>
      </c>
      <c r="F21" s="123">
        <v>352</v>
      </c>
      <c r="G21">
        <v>1</v>
      </c>
      <c r="H21" s="123">
        <f aca="true" t="shared" si="5" ref="H21:H37">F21*G21</f>
        <v>352</v>
      </c>
      <c r="I21">
        <v>2</v>
      </c>
      <c r="J21" s="124">
        <f t="shared" si="4"/>
        <v>704</v>
      </c>
      <c r="M21" s="123"/>
    </row>
    <row r="22" spans="1:13" ht="15">
      <c r="A22" s="119" t="s">
        <v>51</v>
      </c>
      <c r="B22" s="119" t="s">
        <v>63</v>
      </c>
      <c r="C22" s="119" t="s">
        <v>57</v>
      </c>
      <c r="D22" s="120" t="s">
        <v>58</v>
      </c>
      <c r="E22" s="120" t="s">
        <v>59</v>
      </c>
      <c r="F22" s="123">
        <v>352</v>
      </c>
      <c r="G22">
        <v>1</v>
      </c>
      <c r="H22" s="123">
        <f t="shared" si="5"/>
        <v>352</v>
      </c>
      <c r="I22">
        <v>3</v>
      </c>
      <c r="J22" s="124">
        <f aca="true" t="shared" si="6" ref="J22:J37">H22*I22</f>
        <v>1056</v>
      </c>
      <c r="M22" s="123"/>
    </row>
    <row r="23" spans="1:13" ht="15">
      <c r="A23" s="119" t="s">
        <v>51</v>
      </c>
      <c r="B23" s="119" t="s">
        <v>64</v>
      </c>
      <c r="C23" s="119" t="s">
        <v>57</v>
      </c>
      <c r="D23" s="120" t="s">
        <v>58</v>
      </c>
      <c r="E23" s="120" t="s">
        <v>59</v>
      </c>
      <c r="F23" s="123">
        <v>520</v>
      </c>
      <c r="G23">
        <v>1</v>
      </c>
      <c r="H23" s="123">
        <f t="shared" si="5"/>
        <v>520</v>
      </c>
      <c r="I23">
        <v>1</v>
      </c>
      <c r="J23" s="124">
        <f t="shared" si="6"/>
        <v>520</v>
      </c>
      <c r="M23" s="123"/>
    </row>
    <row r="24" spans="1:13" ht="15">
      <c r="A24" s="119" t="s">
        <v>51</v>
      </c>
      <c r="B24" s="119" t="s">
        <v>65</v>
      </c>
      <c r="C24" s="119" t="s">
        <v>57</v>
      </c>
      <c r="D24" s="120" t="s">
        <v>58</v>
      </c>
      <c r="E24" s="120" t="s">
        <v>59</v>
      </c>
      <c r="F24" s="123">
        <v>520</v>
      </c>
      <c r="G24">
        <v>1</v>
      </c>
      <c r="H24" s="123">
        <f t="shared" si="5"/>
        <v>520</v>
      </c>
      <c r="I24">
        <v>2</v>
      </c>
      <c r="J24" s="124">
        <f t="shared" si="6"/>
        <v>1040</v>
      </c>
      <c r="M24" s="123"/>
    </row>
    <row r="25" spans="1:13" ht="15">
      <c r="A25" s="119" t="s">
        <v>51</v>
      </c>
      <c r="B25" s="119" t="s">
        <v>66</v>
      </c>
      <c r="C25" s="119" t="s">
        <v>57</v>
      </c>
      <c r="D25" s="120" t="s">
        <v>58</v>
      </c>
      <c r="E25" s="120" t="s">
        <v>59</v>
      </c>
      <c r="F25" s="123">
        <v>520</v>
      </c>
      <c r="G25">
        <v>1</v>
      </c>
      <c r="H25" s="123">
        <f t="shared" si="5"/>
        <v>520</v>
      </c>
      <c r="I25">
        <v>3</v>
      </c>
      <c r="J25" s="124">
        <f t="shared" si="6"/>
        <v>1560</v>
      </c>
      <c r="M25" s="123"/>
    </row>
    <row r="26" spans="1:13" ht="15">
      <c r="A26" s="119" t="s">
        <v>51</v>
      </c>
      <c r="B26" s="119" t="s">
        <v>67</v>
      </c>
      <c r="C26" s="119" t="s">
        <v>57</v>
      </c>
      <c r="D26" s="120" t="s">
        <v>58</v>
      </c>
      <c r="E26" s="120" t="s">
        <v>59</v>
      </c>
      <c r="F26" s="123">
        <v>159.5</v>
      </c>
      <c r="G26">
        <v>1</v>
      </c>
      <c r="H26" s="123">
        <f t="shared" si="5"/>
        <v>159.5</v>
      </c>
      <c r="I26">
        <v>1</v>
      </c>
      <c r="J26" s="124">
        <f t="shared" si="6"/>
        <v>159.5</v>
      </c>
      <c r="M26" s="123"/>
    </row>
    <row r="27" spans="1:13" ht="15">
      <c r="A27" s="119" t="s">
        <v>51</v>
      </c>
      <c r="B27" s="119" t="s">
        <v>68</v>
      </c>
      <c r="C27" s="119" t="s">
        <v>57</v>
      </c>
      <c r="D27" s="120" t="s">
        <v>58</v>
      </c>
      <c r="E27" s="120" t="s">
        <v>59</v>
      </c>
      <c r="F27" s="123">
        <v>159.5</v>
      </c>
      <c r="G27">
        <v>1</v>
      </c>
      <c r="H27" s="123">
        <f t="shared" si="5"/>
        <v>159.5</v>
      </c>
      <c r="I27">
        <v>2</v>
      </c>
      <c r="J27" s="124">
        <f t="shared" si="6"/>
        <v>319</v>
      </c>
      <c r="M27" s="123"/>
    </row>
    <row r="28" spans="1:13" ht="15">
      <c r="A28" s="119" t="s">
        <v>51</v>
      </c>
      <c r="B28" s="119" t="s">
        <v>69</v>
      </c>
      <c r="C28" s="119" t="s">
        <v>57</v>
      </c>
      <c r="D28" s="120" t="s">
        <v>58</v>
      </c>
      <c r="E28" s="120" t="s">
        <v>59</v>
      </c>
      <c r="F28" s="123">
        <v>159.5</v>
      </c>
      <c r="G28">
        <v>1</v>
      </c>
      <c r="H28" s="123">
        <f t="shared" si="5"/>
        <v>159.5</v>
      </c>
      <c r="I28">
        <v>3</v>
      </c>
      <c r="J28" s="124">
        <f t="shared" si="6"/>
        <v>478.5</v>
      </c>
      <c r="M28" s="123"/>
    </row>
    <row r="29" spans="1:13" ht="15">
      <c r="A29" s="119" t="s">
        <v>51</v>
      </c>
      <c r="B29" s="147" t="s">
        <v>70</v>
      </c>
      <c r="C29" s="147" t="s">
        <v>57</v>
      </c>
      <c r="D29" s="120" t="s">
        <v>58</v>
      </c>
      <c r="E29" s="120" t="s">
        <v>59</v>
      </c>
      <c r="F29" s="123">
        <v>220</v>
      </c>
      <c r="G29">
        <v>1</v>
      </c>
      <c r="H29" s="123">
        <f t="shared" si="5"/>
        <v>220</v>
      </c>
      <c r="I29">
        <v>1</v>
      </c>
      <c r="J29" s="124">
        <f t="shared" si="6"/>
        <v>220</v>
      </c>
      <c r="M29" s="123"/>
    </row>
    <row r="30" spans="1:13" ht="15">
      <c r="A30" s="119" t="s">
        <v>51</v>
      </c>
      <c r="B30" s="147" t="s">
        <v>71</v>
      </c>
      <c r="C30" s="147" t="s">
        <v>57</v>
      </c>
      <c r="D30" s="120" t="s">
        <v>58</v>
      </c>
      <c r="E30" s="120" t="s">
        <v>59</v>
      </c>
      <c r="F30" s="123">
        <v>220</v>
      </c>
      <c r="G30">
        <v>1</v>
      </c>
      <c r="H30" s="123">
        <f t="shared" si="5"/>
        <v>220</v>
      </c>
      <c r="I30">
        <v>2</v>
      </c>
      <c r="J30" s="124">
        <f t="shared" si="6"/>
        <v>440</v>
      </c>
      <c r="M30" s="123"/>
    </row>
    <row r="31" spans="1:13" ht="15">
      <c r="A31" s="119" t="s">
        <v>51</v>
      </c>
      <c r="B31" s="148" t="s">
        <v>72</v>
      </c>
      <c r="C31" s="148" t="s">
        <v>57</v>
      </c>
      <c r="D31" s="120" t="s">
        <v>58</v>
      </c>
      <c r="E31" s="120" t="s">
        <v>59</v>
      </c>
      <c r="F31" s="123">
        <v>220</v>
      </c>
      <c r="G31">
        <v>1</v>
      </c>
      <c r="H31" s="123">
        <f t="shared" si="5"/>
        <v>220</v>
      </c>
      <c r="I31">
        <v>3</v>
      </c>
      <c r="J31" s="124">
        <f t="shared" si="6"/>
        <v>660</v>
      </c>
      <c r="M31" s="123"/>
    </row>
    <row r="32" spans="1:13" ht="15">
      <c r="A32" s="119" t="s">
        <v>51</v>
      </c>
      <c r="B32" s="148" t="s">
        <v>73</v>
      </c>
      <c r="C32" s="148" t="s">
        <v>57</v>
      </c>
      <c r="D32" s="120" t="s">
        <v>58</v>
      </c>
      <c r="E32" s="120" t="s">
        <v>59</v>
      </c>
      <c r="F32" s="123">
        <v>330</v>
      </c>
      <c r="G32">
        <v>1</v>
      </c>
      <c r="H32" s="123">
        <f t="shared" si="5"/>
        <v>330</v>
      </c>
      <c r="I32">
        <v>1</v>
      </c>
      <c r="J32" s="124">
        <f t="shared" si="6"/>
        <v>330</v>
      </c>
      <c r="M32" s="123"/>
    </row>
    <row r="33" spans="1:13" ht="15">
      <c r="A33" s="119" t="s">
        <v>51</v>
      </c>
      <c r="B33" s="148" t="s">
        <v>74</v>
      </c>
      <c r="C33" s="148" t="s">
        <v>57</v>
      </c>
      <c r="D33" s="120" t="s">
        <v>58</v>
      </c>
      <c r="E33" s="120" t="s">
        <v>59</v>
      </c>
      <c r="F33" s="123">
        <v>330</v>
      </c>
      <c r="G33">
        <v>1</v>
      </c>
      <c r="H33" s="123">
        <f t="shared" si="5"/>
        <v>330</v>
      </c>
      <c r="I33">
        <v>2</v>
      </c>
      <c r="J33" s="124">
        <f t="shared" si="6"/>
        <v>660</v>
      </c>
      <c r="M33" s="123"/>
    </row>
    <row r="34" spans="1:13" ht="15">
      <c r="A34" s="119" t="s">
        <v>51</v>
      </c>
      <c r="B34" s="148" t="s">
        <v>75</v>
      </c>
      <c r="C34" s="148" t="s">
        <v>57</v>
      </c>
      <c r="D34" s="120" t="s">
        <v>58</v>
      </c>
      <c r="E34" s="120" t="s">
        <v>59</v>
      </c>
      <c r="F34" s="123">
        <v>330</v>
      </c>
      <c r="G34">
        <v>1</v>
      </c>
      <c r="H34" s="123">
        <f t="shared" si="5"/>
        <v>330</v>
      </c>
      <c r="I34">
        <v>3</v>
      </c>
      <c r="J34" s="124">
        <f t="shared" si="6"/>
        <v>990</v>
      </c>
      <c r="M34" s="123"/>
    </row>
    <row r="35" spans="1:13" ht="15">
      <c r="A35" s="119" t="s">
        <v>51</v>
      </c>
      <c r="B35" s="148" t="s">
        <v>76</v>
      </c>
      <c r="C35" s="148" t="s">
        <v>57</v>
      </c>
      <c r="D35" s="120" t="s">
        <v>58</v>
      </c>
      <c r="E35" s="120" t="s">
        <v>59</v>
      </c>
      <c r="F35" s="123">
        <v>385.00000000000006</v>
      </c>
      <c r="G35">
        <v>1</v>
      </c>
      <c r="H35" s="123">
        <f t="shared" si="5"/>
        <v>385.00000000000006</v>
      </c>
      <c r="I35">
        <v>1</v>
      </c>
      <c r="J35" s="124">
        <f t="shared" si="6"/>
        <v>385.00000000000006</v>
      </c>
      <c r="M35" s="123"/>
    </row>
    <row r="36" spans="1:13" ht="15">
      <c r="A36" s="119" t="s">
        <v>51</v>
      </c>
      <c r="B36" s="148" t="s">
        <v>77</v>
      </c>
      <c r="C36" s="148" t="s">
        <v>57</v>
      </c>
      <c r="D36" s="120" t="s">
        <v>58</v>
      </c>
      <c r="E36" s="120" t="s">
        <v>59</v>
      </c>
      <c r="F36" s="123">
        <v>385.00000000000006</v>
      </c>
      <c r="G36">
        <v>1</v>
      </c>
      <c r="H36" s="123">
        <f t="shared" si="5"/>
        <v>385.00000000000006</v>
      </c>
      <c r="I36">
        <v>2</v>
      </c>
      <c r="J36" s="124">
        <f t="shared" si="6"/>
        <v>770.0000000000001</v>
      </c>
      <c r="M36" s="123"/>
    </row>
    <row r="37" spans="1:13" ht="15">
      <c r="A37" s="119" t="s">
        <v>51</v>
      </c>
      <c r="B37" s="148" t="s">
        <v>78</v>
      </c>
      <c r="C37" s="148" t="s">
        <v>57</v>
      </c>
      <c r="D37" s="120" t="s">
        <v>58</v>
      </c>
      <c r="E37" s="120" t="s">
        <v>59</v>
      </c>
      <c r="F37" s="123">
        <v>385.00000000000006</v>
      </c>
      <c r="G37">
        <v>1</v>
      </c>
      <c r="H37" s="123">
        <f t="shared" si="5"/>
        <v>385.00000000000006</v>
      </c>
      <c r="I37">
        <v>3</v>
      </c>
      <c r="J37" s="124">
        <f t="shared" si="6"/>
        <v>1155.0000000000002</v>
      </c>
      <c r="M37" s="123"/>
    </row>
    <row r="38" spans="1:10" ht="15">
      <c r="A38" s="119"/>
      <c r="B38" s="119"/>
      <c r="C38" s="119"/>
      <c r="D38" s="120"/>
      <c r="E38" s="120"/>
      <c r="F38" s="121"/>
      <c r="G38" s="122"/>
      <c r="H38" s="123"/>
      <c r="J38" s="124"/>
    </row>
    <row r="39" spans="1:10" ht="24">
      <c r="A39" s="115" t="s">
        <v>79</v>
      </c>
      <c r="B39" s="115"/>
      <c r="C39" s="115" t="s">
        <v>15</v>
      </c>
      <c r="D39" s="116" t="s">
        <v>30</v>
      </c>
      <c r="E39" s="116" t="s">
        <v>31</v>
      </c>
      <c r="F39" s="117" t="s">
        <v>32</v>
      </c>
      <c r="G39" s="118" t="s">
        <v>18</v>
      </c>
      <c r="H39" s="117" t="s">
        <v>19</v>
      </c>
      <c r="I39" s="117" t="s">
        <v>33</v>
      </c>
      <c r="J39" s="117" t="s">
        <v>34</v>
      </c>
    </row>
    <row r="40" spans="1:10" ht="15">
      <c r="A40" s="119" t="s">
        <v>80</v>
      </c>
      <c r="B40" s="119" t="s">
        <v>81</v>
      </c>
      <c r="C40" s="119" t="s">
        <v>39</v>
      </c>
      <c r="D40" s="120" t="s">
        <v>82</v>
      </c>
      <c r="E40" s="120" t="s">
        <v>4</v>
      </c>
      <c r="F40" s="121">
        <v>0.095919</v>
      </c>
      <c r="G40" s="122">
        <v>614400</v>
      </c>
      <c r="H40" s="123">
        <f>F40*G40</f>
        <v>58932.6336</v>
      </c>
      <c r="I40">
        <v>36</v>
      </c>
      <c r="J40" s="124">
        <f>H40*I40</f>
        <v>2121574.8096000003</v>
      </c>
    </row>
    <row r="41" spans="1:10" ht="15">
      <c r="A41" s="119" t="s">
        <v>83</v>
      </c>
      <c r="B41" s="119" t="s">
        <v>84</v>
      </c>
      <c r="C41" s="119" t="s">
        <v>39</v>
      </c>
      <c r="D41" s="120" t="s">
        <v>25</v>
      </c>
      <c r="E41" s="120" t="s">
        <v>4</v>
      </c>
      <c r="F41" s="121">
        <v>0.076942</v>
      </c>
      <c r="G41" s="122">
        <v>395000</v>
      </c>
      <c r="H41" s="123">
        <f>F41*G41</f>
        <v>30392.09</v>
      </c>
      <c r="I41">
        <v>12</v>
      </c>
      <c r="J41" s="124">
        <f>H41*I41</f>
        <v>364705.08</v>
      </c>
    </row>
    <row r="42" spans="1:10" ht="15">
      <c r="A42" s="119" t="s">
        <v>83</v>
      </c>
      <c r="B42" s="119" t="s">
        <v>85</v>
      </c>
      <c r="C42" s="119" t="s">
        <v>39</v>
      </c>
      <c r="D42" s="120" t="s">
        <v>25</v>
      </c>
      <c r="E42" s="120" t="s">
        <v>4</v>
      </c>
      <c r="F42" s="121">
        <v>0.038471</v>
      </c>
      <c r="G42" s="122">
        <v>395000</v>
      </c>
      <c r="H42" s="123">
        <f>F42*G42</f>
        <v>15196.045</v>
      </c>
      <c r="I42">
        <v>24</v>
      </c>
      <c r="J42" s="124">
        <f>H42*I42</f>
        <v>364705.08</v>
      </c>
    </row>
    <row r="43" spans="1:10" ht="15">
      <c r="A43" s="119" t="s">
        <v>83</v>
      </c>
      <c r="B43" s="119" t="s">
        <v>86</v>
      </c>
      <c r="C43" s="119" t="s">
        <v>39</v>
      </c>
      <c r="D43" s="120" t="s">
        <v>25</v>
      </c>
      <c r="E43" s="120" t="s">
        <v>4</v>
      </c>
      <c r="F43" s="121">
        <v>0.025647</v>
      </c>
      <c r="G43" s="122">
        <v>395000</v>
      </c>
      <c r="H43" s="123">
        <f>F43*G43</f>
        <v>10130.565</v>
      </c>
      <c r="I43">
        <v>36</v>
      </c>
      <c r="J43" s="124">
        <f>H43*I43</f>
        <v>364700.34</v>
      </c>
    </row>
    <row r="44" spans="1:10" ht="15">
      <c r="A44" s="119" t="s">
        <v>83</v>
      </c>
      <c r="B44" s="119" t="s">
        <v>87</v>
      </c>
      <c r="C44" s="119" t="s">
        <v>39</v>
      </c>
      <c r="D44" s="120" t="s">
        <v>25</v>
      </c>
      <c r="E44" s="120" t="s">
        <v>4</v>
      </c>
      <c r="F44" s="121">
        <v>0.376433</v>
      </c>
      <c r="G44" s="122">
        <v>395000</v>
      </c>
      <c r="H44" s="123">
        <f>F44*G44</f>
        <v>148691.035</v>
      </c>
      <c r="I44">
        <v>1</v>
      </c>
      <c r="J44" s="124">
        <f>H44*I44</f>
        <v>148691.035</v>
      </c>
    </row>
    <row r="45" spans="1:10" ht="15">
      <c r="A45" s="119" t="s">
        <v>83</v>
      </c>
      <c r="B45" s="119" t="s">
        <v>88</v>
      </c>
      <c r="C45" s="119" t="s">
        <v>39</v>
      </c>
      <c r="D45" s="119" t="s">
        <v>25</v>
      </c>
      <c r="E45" s="120" t="s">
        <v>4</v>
      </c>
      <c r="F45" s="121">
        <v>0.358665</v>
      </c>
      <c r="G45" s="122">
        <v>95232</v>
      </c>
      <c r="H45" s="123">
        <v>34156.39</v>
      </c>
      <c r="I45">
        <v>12</v>
      </c>
      <c r="J45" s="124">
        <f>I45*H45</f>
        <v>409876.68</v>
      </c>
    </row>
    <row r="46" spans="1:10" ht="15">
      <c r="A46" s="119" t="s">
        <v>83</v>
      </c>
      <c r="B46" s="119" t="s">
        <v>89</v>
      </c>
      <c r="C46" s="119" t="s">
        <v>39</v>
      </c>
      <c r="D46" s="119" t="s">
        <v>25</v>
      </c>
      <c r="E46" s="120" t="s">
        <v>4</v>
      </c>
      <c r="F46" s="121">
        <v>0.179333</v>
      </c>
      <c r="G46" s="122">
        <v>95232</v>
      </c>
      <c r="H46" s="123">
        <v>17078.19</v>
      </c>
      <c r="I46">
        <v>24</v>
      </c>
      <c r="J46" s="124">
        <f>I46*H46</f>
        <v>409876.55999999994</v>
      </c>
    </row>
    <row r="47" spans="1:10" ht="15">
      <c r="A47" s="119" t="s">
        <v>83</v>
      </c>
      <c r="B47" s="119" t="s">
        <v>90</v>
      </c>
      <c r="C47" s="119" t="s">
        <v>39</v>
      </c>
      <c r="D47" s="119" t="s">
        <v>25</v>
      </c>
      <c r="E47" s="120" t="s">
        <v>4</v>
      </c>
      <c r="F47" s="121">
        <v>0.119555</v>
      </c>
      <c r="G47" s="122">
        <v>95232</v>
      </c>
      <c r="H47" s="123">
        <v>11385.46</v>
      </c>
      <c r="I47">
        <v>36</v>
      </c>
      <c r="J47" s="124">
        <f>I47*H47</f>
        <v>409876.55999999994</v>
      </c>
    </row>
    <row r="48" spans="1:10" ht="15">
      <c r="A48" s="119" t="s">
        <v>83</v>
      </c>
      <c r="B48" s="119" t="s">
        <v>91</v>
      </c>
      <c r="C48" s="119" t="s">
        <v>39</v>
      </c>
      <c r="D48" s="119" t="s">
        <v>25</v>
      </c>
      <c r="E48" s="120" t="s">
        <v>4</v>
      </c>
      <c r="F48" s="121">
        <v>0.999153</v>
      </c>
      <c r="G48" s="122">
        <v>95232</v>
      </c>
      <c r="H48" s="123">
        <v>95151.34</v>
      </c>
      <c r="I48">
        <v>1</v>
      </c>
      <c r="J48" s="124">
        <f>I48*H48</f>
        <v>95151.34</v>
      </c>
    </row>
    <row r="49" spans="1:10" ht="15" customHeight="1">
      <c r="A49" s="119" t="s">
        <v>92</v>
      </c>
      <c r="B49" s="119" t="s">
        <v>93</v>
      </c>
      <c r="C49" s="119" t="s">
        <v>39</v>
      </c>
      <c r="D49" s="120" t="s">
        <v>94</v>
      </c>
      <c r="E49" s="120" t="s">
        <v>4</v>
      </c>
      <c r="F49" s="121">
        <v>0.089928</v>
      </c>
      <c r="G49" s="122">
        <v>664514</v>
      </c>
      <c r="H49" s="123">
        <f aca="true" t="shared" si="7" ref="H49:H84">F49*G49</f>
        <v>59758.414992</v>
      </c>
      <c r="I49">
        <v>12</v>
      </c>
      <c r="J49" s="124">
        <f aca="true" t="shared" si="8" ref="J49:J84">H49*I49</f>
        <v>717100.979904</v>
      </c>
    </row>
    <row r="50" spans="1:10" ht="15" customHeight="1">
      <c r="A50" s="119" t="s">
        <v>92</v>
      </c>
      <c r="B50" s="119" t="s">
        <v>95</v>
      </c>
      <c r="C50" s="119" t="s">
        <v>39</v>
      </c>
      <c r="D50" s="120" t="s">
        <v>94</v>
      </c>
      <c r="E50" s="120" t="s">
        <v>4</v>
      </c>
      <c r="F50" s="121">
        <v>0.029976</v>
      </c>
      <c r="G50" s="122">
        <v>664514</v>
      </c>
      <c r="H50" s="123">
        <f t="shared" si="7"/>
        <v>19919.471664</v>
      </c>
      <c r="I50">
        <v>36</v>
      </c>
      <c r="J50" s="124">
        <f t="shared" si="8"/>
        <v>717100.9799040001</v>
      </c>
    </row>
    <row r="51" spans="1:10" ht="15" customHeight="1">
      <c r="A51" s="119" t="s">
        <v>92</v>
      </c>
      <c r="B51" s="119" t="s">
        <v>96</v>
      </c>
      <c r="C51" s="119" t="s">
        <v>39</v>
      </c>
      <c r="D51" s="120" t="s">
        <v>94</v>
      </c>
      <c r="E51" s="120" t="s">
        <v>4</v>
      </c>
      <c r="F51" s="121">
        <v>0.167639</v>
      </c>
      <c r="G51" s="122">
        <v>664514</v>
      </c>
      <c r="H51" s="123">
        <f t="shared" si="7"/>
        <v>111398.462446</v>
      </c>
      <c r="I51">
        <v>1</v>
      </c>
      <c r="J51" s="124">
        <f t="shared" si="8"/>
        <v>111398.462446</v>
      </c>
    </row>
    <row r="52" spans="1:10" ht="15" customHeight="1">
      <c r="A52" s="119" t="s">
        <v>92</v>
      </c>
      <c r="B52" s="119" t="s">
        <v>97</v>
      </c>
      <c r="C52" s="119" t="s">
        <v>39</v>
      </c>
      <c r="D52" s="120" t="s">
        <v>94</v>
      </c>
      <c r="E52" s="120" t="s">
        <v>4</v>
      </c>
      <c r="F52" s="121">
        <v>0.044964</v>
      </c>
      <c r="G52" s="122">
        <v>664514</v>
      </c>
      <c r="H52" s="123">
        <f t="shared" si="7"/>
        <v>29879.207496</v>
      </c>
      <c r="I52">
        <v>24</v>
      </c>
      <c r="J52" s="124">
        <f t="shared" si="8"/>
        <v>717100.979904</v>
      </c>
    </row>
    <row r="53" spans="1:10" ht="15" customHeight="1">
      <c r="A53" s="119" t="s">
        <v>92</v>
      </c>
      <c r="B53" s="119" t="s">
        <v>98</v>
      </c>
      <c r="C53" s="119" t="s">
        <v>39</v>
      </c>
      <c r="D53" s="119" t="s">
        <v>94</v>
      </c>
      <c r="E53" s="120" t="s">
        <v>4</v>
      </c>
      <c r="F53" s="121">
        <v>0.119706</v>
      </c>
      <c r="G53" s="122">
        <v>332134</v>
      </c>
      <c r="H53" s="123">
        <f t="shared" si="7"/>
        <v>39758.432604</v>
      </c>
      <c r="I53">
        <v>12</v>
      </c>
      <c r="J53" s="124">
        <f t="shared" si="8"/>
        <v>477101.191248</v>
      </c>
    </row>
    <row r="54" spans="1:10" ht="15" customHeight="1">
      <c r="A54" s="119" t="s">
        <v>92</v>
      </c>
      <c r="B54" s="119" t="s">
        <v>99</v>
      </c>
      <c r="C54" s="119" t="s">
        <v>39</v>
      </c>
      <c r="D54" s="119" t="s">
        <v>94</v>
      </c>
      <c r="E54" s="120" t="s">
        <v>4</v>
      </c>
      <c r="F54" s="121">
        <v>0.059853</v>
      </c>
      <c r="G54" s="122">
        <v>332134</v>
      </c>
      <c r="H54" s="123">
        <f t="shared" si="7"/>
        <v>19879.216302</v>
      </c>
      <c r="I54">
        <v>24</v>
      </c>
      <c r="J54" s="124">
        <f t="shared" si="8"/>
        <v>477101.191248</v>
      </c>
    </row>
    <row r="55" spans="1:10" ht="15" customHeight="1">
      <c r="A55" s="119" t="s">
        <v>92</v>
      </c>
      <c r="B55" s="119" t="s">
        <v>100</v>
      </c>
      <c r="C55" s="119" t="s">
        <v>39</v>
      </c>
      <c r="D55" s="119" t="s">
        <v>94</v>
      </c>
      <c r="E55" s="120" t="s">
        <v>4</v>
      </c>
      <c r="F55" s="121">
        <v>0.039902</v>
      </c>
      <c r="G55" s="122">
        <v>332134</v>
      </c>
      <c r="H55" s="123">
        <f t="shared" si="7"/>
        <v>13252.810868</v>
      </c>
      <c r="I55">
        <v>36</v>
      </c>
      <c r="J55" s="124">
        <f t="shared" si="8"/>
        <v>477101.191248</v>
      </c>
    </row>
    <row r="56" spans="1:10" ht="15" customHeight="1">
      <c r="A56" s="119" t="s">
        <v>92</v>
      </c>
      <c r="B56" s="119" t="s">
        <v>101</v>
      </c>
      <c r="C56" s="119" t="s">
        <v>39</v>
      </c>
      <c r="D56" s="119" t="s">
        <v>94</v>
      </c>
      <c r="E56" s="120" t="s">
        <v>4</v>
      </c>
      <c r="F56" s="121">
        <v>0.438692</v>
      </c>
      <c r="G56" s="122">
        <v>332134</v>
      </c>
      <c r="H56" s="123">
        <f t="shared" si="7"/>
        <v>145704.528728</v>
      </c>
      <c r="I56">
        <v>1</v>
      </c>
      <c r="J56" s="124">
        <f t="shared" si="8"/>
        <v>145704.528728</v>
      </c>
    </row>
    <row r="57" spans="1:10" ht="15" customHeight="1">
      <c r="A57" s="119" t="s">
        <v>92</v>
      </c>
      <c r="B57" s="119" t="s">
        <v>102</v>
      </c>
      <c r="C57" s="119" t="s">
        <v>39</v>
      </c>
      <c r="D57" s="119" t="s">
        <v>94</v>
      </c>
      <c r="E57" s="120" t="s">
        <v>4</v>
      </c>
      <c r="F57" s="121">
        <v>0.104652</v>
      </c>
      <c r="G57" s="122">
        <v>332134</v>
      </c>
      <c r="H57" s="123">
        <f t="shared" si="7"/>
        <v>34758.487368</v>
      </c>
      <c r="I57">
        <v>12</v>
      </c>
      <c r="J57" s="124">
        <f t="shared" si="8"/>
        <v>417101.848416</v>
      </c>
    </row>
    <row r="58" spans="1:10" ht="15" customHeight="1">
      <c r="A58" s="119" t="s">
        <v>92</v>
      </c>
      <c r="B58" s="119" t="s">
        <v>103</v>
      </c>
      <c r="C58" s="119" t="s">
        <v>39</v>
      </c>
      <c r="D58" s="119" t="s">
        <v>94</v>
      </c>
      <c r="E58" s="120" t="s">
        <v>4</v>
      </c>
      <c r="F58" s="121">
        <v>0.052326</v>
      </c>
      <c r="G58" s="122">
        <v>332134</v>
      </c>
      <c r="H58" s="123">
        <f t="shared" si="7"/>
        <v>17379.243684</v>
      </c>
      <c r="I58">
        <v>24</v>
      </c>
      <c r="J58" s="124">
        <f t="shared" si="8"/>
        <v>417101.848416</v>
      </c>
    </row>
    <row r="59" spans="1:10" ht="15" customHeight="1">
      <c r="A59" s="119" t="s">
        <v>92</v>
      </c>
      <c r="B59" s="119" t="s">
        <v>104</v>
      </c>
      <c r="C59" s="119" t="s">
        <v>39</v>
      </c>
      <c r="D59" s="119" t="s">
        <v>94</v>
      </c>
      <c r="E59" s="120" t="s">
        <v>4</v>
      </c>
      <c r="F59" s="121">
        <v>0.034884</v>
      </c>
      <c r="G59" s="122">
        <v>332134</v>
      </c>
      <c r="H59" s="123">
        <f t="shared" si="7"/>
        <v>11586.162456</v>
      </c>
      <c r="I59">
        <v>36</v>
      </c>
      <c r="J59" s="124">
        <f t="shared" si="8"/>
        <v>417101.848416</v>
      </c>
    </row>
    <row r="60" spans="1:10" ht="15" customHeight="1">
      <c r="A60" s="119" t="s">
        <v>92</v>
      </c>
      <c r="B60" s="119" t="s">
        <v>105</v>
      </c>
      <c r="C60" s="119" t="s">
        <v>39</v>
      </c>
      <c r="D60" s="119" t="s">
        <v>94</v>
      </c>
      <c r="E60" s="120" t="s">
        <v>4</v>
      </c>
      <c r="F60" s="121">
        <v>0.239304</v>
      </c>
      <c r="G60" s="122">
        <v>332134</v>
      </c>
      <c r="H60" s="123">
        <f t="shared" si="7"/>
        <v>79480.994736</v>
      </c>
      <c r="I60">
        <v>1</v>
      </c>
      <c r="J60" s="124">
        <f t="shared" si="8"/>
        <v>79480.994736</v>
      </c>
    </row>
    <row r="61" spans="1:10" ht="15" customHeight="1">
      <c r="A61" s="119" t="s">
        <v>92</v>
      </c>
      <c r="B61" s="119" t="s">
        <v>106</v>
      </c>
      <c r="C61" s="119" t="s">
        <v>39</v>
      </c>
      <c r="D61" s="120" t="s">
        <v>25</v>
      </c>
      <c r="E61" s="120" t="s">
        <v>4</v>
      </c>
      <c r="F61" s="121">
        <v>0.625278</v>
      </c>
      <c r="G61" s="122">
        <v>97000</v>
      </c>
      <c r="H61" s="123">
        <f t="shared" si="7"/>
        <v>60651.966</v>
      </c>
      <c r="I61">
        <v>12</v>
      </c>
      <c r="J61" s="124">
        <f t="shared" si="8"/>
        <v>727823.592</v>
      </c>
    </row>
    <row r="62" spans="1:10" ht="15" customHeight="1">
      <c r="A62" s="119" t="s">
        <v>92</v>
      </c>
      <c r="B62" s="119" t="s">
        <v>107</v>
      </c>
      <c r="C62" s="119" t="s">
        <v>39</v>
      </c>
      <c r="D62" s="120" t="s">
        <v>25</v>
      </c>
      <c r="E62" s="120" t="s">
        <v>4</v>
      </c>
      <c r="F62" s="121">
        <v>0.312639</v>
      </c>
      <c r="G62" s="122">
        <v>97000</v>
      </c>
      <c r="H62" s="123">
        <f t="shared" si="7"/>
        <v>30325.983</v>
      </c>
      <c r="I62">
        <v>24</v>
      </c>
      <c r="J62" s="124">
        <f t="shared" si="8"/>
        <v>727823.592</v>
      </c>
    </row>
    <row r="63" spans="1:10" ht="15" customHeight="1">
      <c r="A63" s="119" t="s">
        <v>92</v>
      </c>
      <c r="B63" s="119" t="s">
        <v>108</v>
      </c>
      <c r="C63" s="119" t="s">
        <v>39</v>
      </c>
      <c r="D63" s="120" t="s">
        <v>25</v>
      </c>
      <c r="E63" s="120" t="s">
        <v>4</v>
      </c>
      <c r="F63" s="121">
        <v>0.208426</v>
      </c>
      <c r="G63" s="122">
        <v>97000</v>
      </c>
      <c r="H63" s="123">
        <f t="shared" si="7"/>
        <v>20217.322</v>
      </c>
      <c r="I63">
        <v>36</v>
      </c>
      <c r="J63" s="124">
        <f t="shared" si="8"/>
        <v>727823.592</v>
      </c>
    </row>
    <row r="64" spans="1:10" ht="15" customHeight="1">
      <c r="A64" s="119" t="s">
        <v>92</v>
      </c>
      <c r="B64" s="119" t="s">
        <v>109</v>
      </c>
      <c r="C64" s="119" t="s">
        <v>39</v>
      </c>
      <c r="D64" s="120" t="s">
        <v>25</v>
      </c>
      <c r="E64" s="120" t="s">
        <v>4</v>
      </c>
      <c r="F64" s="121">
        <v>1.987663</v>
      </c>
      <c r="G64" s="122">
        <v>97000</v>
      </c>
      <c r="H64" s="123">
        <f t="shared" si="7"/>
        <v>192803.311</v>
      </c>
      <c r="I64">
        <v>1</v>
      </c>
      <c r="J64" s="124">
        <f t="shared" si="8"/>
        <v>192803.311</v>
      </c>
    </row>
    <row r="65" spans="1:10" ht="15" customHeight="1">
      <c r="A65" s="119" t="s">
        <v>110</v>
      </c>
      <c r="B65" s="119" t="s">
        <v>111</v>
      </c>
      <c r="C65" s="119" t="s">
        <v>39</v>
      </c>
      <c r="D65" s="120" t="s">
        <v>25</v>
      </c>
      <c r="E65" s="120" t="s">
        <v>4</v>
      </c>
      <c r="F65" s="121">
        <v>0.787203</v>
      </c>
      <c r="G65" s="122">
        <v>206000</v>
      </c>
      <c r="H65" s="123">
        <f t="shared" si="7"/>
        <v>162163.818</v>
      </c>
      <c r="I65">
        <v>12</v>
      </c>
      <c r="J65" s="124">
        <f t="shared" si="8"/>
        <v>1945965.816</v>
      </c>
    </row>
    <row r="66" spans="1:10" ht="15" customHeight="1">
      <c r="A66" s="119" t="s">
        <v>110</v>
      </c>
      <c r="B66" s="119" t="s">
        <v>112</v>
      </c>
      <c r="C66" s="119" t="s">
        <v>39</v>
      </c>
      <c r="D66" s="120" t="s">
        <v>25</v>
      </c>
      <c r="E66" s="120" t="s">
        <v>4</v>
      </c>
      <c r="F66" s="121">
        <v>0.393602</v>
      </c>
      <c r="G66" s="122">
        <v>206000</v>
      </c>
      <c r="H66" s="123">
        <f t="shared" si="7"/>
        <v>81082.012</v>
      </c>
      <c r="I66">
        <v>24</v>
      </c>
      <c r="J66" s="124">
        <f t="shared" si="8"/>
        <v>1945968.2880000002</v>
      </c>
    </row>
    <row r="67" spans="1:10" ht="15" customHeight="1">
      <c r="A67" s="119" t="s">
        <v>110</v>
      </c>
      <c r="B67" s="119" t="s">
        <v>113</v>
      </c>
      <c r="C67" s="119" t="s">
        <v>39</v>
      </c>
      <c r="D67" s="120" t="s">
        <v>25</v>
      </c>
      <c r="E67" s="120" t="s">
        <v>4</v>
      </c>
      <c r="F67" s="121">
        <v>0.526489</v>
      </c>
      <c r="G67" s="122">
        <v>206000</v>
      </c>
      <c r="H67" s="123">
        <f t="shared" si="7"/>
        <v>108456.734</v>
      </c>
      <c r="I67">
        <v>36</v>
      </c>
      <c r="J67" s="124">
        <f t="shared" si="8"/>
        <v>3904442.4239999996</v>
      </c>
    </row>
    <row r="68" spans="1:10" ht="15" customHeight="1">
      <c r="A68" s="119" t="s">
        <v>110</v>
      </c>
      <c r="B68" s="119" t="s">
        <v>114</v>
      </c>
      <c r="C68" s="119" t="s">
        <v>39</v>
      </c>
      <c r="D68" s="120" t="s">
        <v>25</v>
      </c>
      <c r="E68" s="120" t="s">
        <v>4</v>
      </c>
      <c r="F68" s="121">
        <v>3.148812</v>
      </c>
      <c r="G68" s="122">
        <v>206000</v>
      </c>
      <c r="H68" s="123">
        <f t="shared" si="7"/>
        <v>648655.272</v>
      </c>
      <c r="I68">
        <v>1</v>
      </c>
      <c r="J68" s="124">
        <f t="shared" si="8"/>
        <v>648655.272</v>
      </c>
    </row>
    <row r="69" spans="1:10" ht="15" customHeight="1">
      <c r="A69" s="119" t="s">
        <v>110</v>
      </c>
      <c r="B69" s="119" t="s">
        <v>115</v>
      </c>
      <c r="C69" s="119" t="s">
        <v>39</v>
      </c>
      <c r="D69" s="120" t="s">
        <v>25</v>
      </c>
      <c r="E69" s="120" t="s">
        <v>4</v>
      </c>
      <c r="F69" s="121">
        <v>0.157204</v>
      </c>
      <c r="G69" s="122">
        <v>206000</v>
      </c>
      <c r="H69" s="123">
        <f t="shared" si="7"/>
        <v>32384.024</v>
      </c>
      <c r="I69">
        <v>12</v>
      </c>
      <c r="J69" s="124">
        <f t="shared" si="8"/>
        <v>388608.288</v>
      </c>
    </row>
    <row r="70" spans="1:10" ht="15" customHeight="1">
      <c r="A70" s="119" t="s">
        <v>110</v>
      </c>
      <c r="B70" s="119" t="s">
        <v>116</v>
      </c>
      <c r="C70" s="119" t="s">
        <v>39</v>
      </c>
      <c r="D70" s="120" t="s">
        <v>25</v>
      </c>
      <c r="E70" s="120" t="s">
        <v>4</v>
      </c>
      <c r="F70" s="121">
        <v>0.078602</v>
      </c>
      <c r="G70" s="122">
        <v>206000</v>
      </c>
      <c r="H70" s="123">
        <f t="shared" si="7"/>
        <v>16192.012</v>
      </c>
      <c r="I70">
        <v>24</v>
      </c>
      <c r="J70" s="124">
        <f t="shared" si="8"/>
        <v>388608.288</v>
      </c>
    </row>
    <row r="71" spans="1:10" ht="15" customHeight="1">
      <c r="A71" s="119" t="s">
        <v>110</v>
      </c>
      <c r="B71" s="119" t="s">
        <v>117</v>
      </c>
      <c r="C71" s="119" t="s">
        <v>39</v>
      </c>
      <c r="D71" s="120" t="s">
        <v>25</v>
      </c>
      <c r="E71" s="120" t="s">
        <v>4</v>
      </c>
      <c r="F71" s="121">
        <v>0.052401</v>
      </c>
      <c r="G71" s="122">
        <v>206000</v>
      </c>
      <c r="H71" s="123">
        <f t="shared" si="7"/>
        <v>10794.606</v>
      </c>
      <c r="I71">
        <v>36</v>
      </c>
      <c r="J71" s="124">
        <f t="shared" si="8"/>
        <v>388605.816</v>
      </c>
    </row>
    <row r="72" spans="1:10" ht="15" customHeight="1">
      <c r="A72" s="119" t="s">
        <v>110</v>
      </c>
      <c r="B72" s="119" t="s">
        <v>118</v>
      </c>
      <c r="C72" s="119" t="s">
        <v>39</v>
      </c>
      <c r="D72" s="120" t="s">
        <v>25</v>
      </c>
      <c r="E72" s="120" t="s">
        <v>4</v>
      </c>
      <c r="F72" s="121">
        <v>0.718665</v>
      </c>
      <c r="G72" s="122">
        <v>206000</v>
      </c>
      <c r="H72" s="123">
        <f t="shared" si="7"/>
        <v>148044.99</v>
      </c>
      <c r="I72">
        <v>1</v>
      </c>
      <c r="J72" s="124">
        <f t="shared" si="8"/>
        <v>148044.99</v>
      </c>
    </row>
    <row r="73" spans="1:10" ht="15" customHeight="1">
      <c r="A73" s="119" t="s">
        <v>110</v>
      </c>
      <c r="B73" s="119" t="s">
        <v>88</v>
      </c>
      <c r="C73" s="119" t="s">
        <v>39</v>
      </c>
      <c r="D73" s="120" t="s">
        <v>25</v>
      </c>
      <c r="E73" s="120" t="s">
        <v>4</v>
      </c>
      <c r="F73" s="121">
        <v>0.105694</v>
      </c>
      <c r="G73" s="122">
        <v>206000</v>
      </c>
      <c r="H73" s="123">
        <f t="shared" si="7"/>
        <v>21772.964</v>
      </c>
      <c r="I73">
        <v>12</v>
      </c>
      <c r="J73" s="124">
        <f t="shared" si="8"/>
        <v>261275.568</v>
      </c>
    </row>
    <row r="74" spans="1:10" ht="15" customHeight="1">
      <c r="A74" s="119" t="s">
        <v>110</v>
      </c>
      <c r="B74" s="119" t="s">
        <v>89</v>
      </c>
      <c r="C74" s="119" t="s">
        <v>39</v>
      </c>
      <c r="D74" s="120" t="s">
        <v>25</v>
      </c>
      <c r="E74" s="120" t="s">
        <v>4</v>
      </c>
      <c r="F74" s="121">
        <v>0.052847</v>
      </c>
      <c r="G74" s="122">
        <v>206000</v>
      </c>
      <c r="H74" s="123">
        <f t="shared" si="7"/>
        <v>10886.482</v>
      </c>
      <c r="I74">
        <v>24</v>
      </c>
      <c r="J74" s="124">
        <f t="shared" si="8"/>
        <v>261275.568</v>
      </c>
    </row>
    <row r="75" spans="1:10" ht="15" customHeight="1">
      <c r="A75" s="119" t="s">
        <v>110</v>
      </c>
      <c r="B75" s="119" t="s">
        <v>90</v>
      </c>
      <c r="C75" s="119" t="s">
        <v>39</v>
      </c>
      <c r="D75" s="120" t="s">
        <v>25</v>
      </c>
      <c r="E75" s="120" t="s">
        <v>4</v>
      </c>
      <c r="F75" s="121">
        <v>0.035231</v>
      </c>
      <c r="G75" s="122">
        <v>206000</v>
      </c>
      <c r="H75" s="123">
        <f t="shared" si="7"/>
        <v>7257.585999999999</v>
      </c>
      <c r="I75">
        <v>36</v>
      </c>
      <c r="J75" s="124">
        <f t="shared" si="8"/>
        <v>261273.09599999996</v>
      </c>
    </row>
    <row r="76" spans="1:10" ht="15" customHeight="1">
      <c r="A76" s="119" t="s">
        <v>110</v>
      </c>
      <c r="B76" s="119" t="s">
        <v>91</v>
      </c>
      <c r="C76" s="119" t="s">
        <v>39</v>
      </c>
      <c r="D76" s="120" t="s">
        <v>25</v>
      </c>
      <c r="E76" s="120" t="s">
        <v>4</v>
      </c>
      <c r="F76" s="121">
        <v>0.60344</v>
      </c>
      <c r="G76" s="122">
        <v>206000</v>
      </c>
      <c r="H76" s="123">
        <f t="shared" si="7"/>
        <v>124308.64</v>
      </c>
      <c r="I76">
        <v>1</v>
      </c>
      <c r="J76" s="124">
        <f t="shared" si="8"/>
        <v>124308.64</v>
      </c>
    </row>
    <row r="77" spans="1:10" ht="15" customHeight="1">
      <c r="A77" s="119" t="s">
        <v>110</v>
      </c>
      <c r="B77" s="119" t="s">
        <v>119</v>
      </c>
      <c r="C77" s="119" t="s">
        <v>39</v>
      </c>
      <c r="D77" s="120" t="s">
        <v>25</v>
      </c>
      <c r="E77" s="120" t="s">
        <v>4</v>
      </c>
      <c r="F77" s="121">
        <v>0.161163</v>
      </c>
      <c r="G77" s="122">
        <v>206000</v>
      </c>
      <c r="H77" s="123">
        <f t="shared" si="7"/>
        <v>33199.578</v>
      </c>
      <c r="I77">
        <v>12</v>
      </c>
      <c r="J77" s="124">
        <f t="shared" si="8"/>
        <v>398394.936</v>
      </c>
    </row>
    <row r="78" spans="1:10" ht="15" customHeight="1">
      <c r="A78" s="119" t="s">
        <v>110</v>
      </c>
      <c r="B78" s="119" t="s">
        <v>120</v>
      </c>
      <c r="C78" s="119" t="s">
        <v>39</v>
      </c>
      <c r="D78" s="120" t="s">
        <v>25</v>
      </c>
      <c r="E78" s="120" t="s">
        <v>4</v>
      </c>
      <c r="F78" s="121">
        <v>0.0805815</v>
      </c>
      <c r="G78" s="122">
        <v>206000</v>
      </c>
      <c r="H78" s="123">
        <f t="shared" si="7"/>
        <v>16599.789</v>
      </c>
      <c r="I78">
        <v>24</v>
      </c>
      <c r="J78" s="124">
        <f t="shared" si="8"/>
        <v>398394.936</v>
      </c>
    </row>
    <row r="79" spans="1:10" ht="15" customHeight="1">
      <c r="A79" s="119" t="s">
        <v>110</v>
      </c>
      <c r="B79" s="119" t="s">
        <v>121</v>
      </c>
      <c r="C79" s="119" t="s">
        <v>39</v>
      </c>
      <c r="D79" s="120" t="s">
        <v>25</v>
      </c>
      <c r="E79" s="120" t="s">
        <v>4</v>
      </c>
      <c r="F79" s="121">
        <v>0.053721</v>
      </c>
      <c r="G79" s="122">
        <v>206000</v>
      </c>
      <c r="H79" s="123">
        <f t="shared" si="7"/>
        <v>11066.526</v>
      </c>
      <c r="I79">
        <v>36</v>
      </c>
      <c r="J79" s="124">
        <f t="shared" si="8"/>
        <v>398394.936</v>
      </c>
    </row>
    <row r="80" spans="1:10" ht="15" customHeight="1">
      <c r="A80" s="119" t="s">
        <v>110</v>
      </c>
      <c r="B80" s="119" t="s">
        <v>122</v>
      </c>
      <c r="C80" s="119" t="s">
        <v>39</v>
      </c>
      <c r="D80" s="120" t="s">
        <v>25</v>
      </c>
      <c r="E80" s="120" t="s">
        <v>4</v>
      </c>
      <c r="F80" s="121">
        <v>0.701778</v>
      </c>
      <c r="G80" s="122">
        <v>206000</v>
      </c>
      <c r="H80" s="123">
        <f t="shared" si="7"/>
        <v>144566.268</v>
      </c>
      <c r="I80">
        <v>1</v>
      </c>
      <c r="J80" s="124">
        <f t="shared" si="8"/>
        <v>144566.268</v>
      </c>
    </row>
    <row r="81" spans="1:10" ht="15" customHeight="1">
      <c r="A81" s="119" t="s">
        <v>110</v>
      </c>
      <c r="B81" s="119" t="s">
        <v>123</v>
      </c>
      <c r="C81" s="119" t="s">
        <v>39</v>
      </c>
      <c r="D81" s="120" t="s">
        <v>25</v>
      </c>
      <c r="E81" s="120" t="s">
        <v>4</v>
      </c>
      <c r="F81" s="121">
        <v>0.143164</v>
      </c>
      <c r="G81" s="122">
        <v>206000</v>
      </c>
      <c r="H81" s="123">
        <f t="shared" si="7"/>
        <v>29491.784000000003</v>
      </c>
      <c r="I81">
        <v>12</v>
      </c>
      <c r="J81" s="124">
        <f t="shared" si="8"/>
        <v>353901.40800000005</v>
      </c>
    </row>
    <row r="82" spans="1:10" ht="15" customHeight="1">
      <c r="A82" s="119" t="s">
        <v>110</v>
      </c>
      <c r="B82" s="119" t="s">
        <v>124</v>
      </c>
      <c r="C82" s="119" t="s">
        <v>39</v>
      </c>
      <c r="D82" s="120" t="s">
        <v>25</v>
      </c>
      <c r="E82" s="120" t="s">
        <v>4</v>
      </c>
      <c r="F82" s="121">
        <v>0.071582</v>
      </c>
      <c r="G82" s="122">
        <v>206000</v>
      </c>
      <c r="H82" s="123">
        <f t="shared" si="7"/>
        <v>14745.892000000002</v>
      </c>
      <c r="I82">
        <v>24</v>
      </c>
      <c r="J82" s="124">
        <f t="shared" si="8"/>
        <v>353901.40800000005</v>
      </c>
    </row>
    <row r="83" spans="1:10" ht="15" customHeight="1">
      <c r="A83" s="119" t="s">
        <v>110</v>
      </c>
      <c r="B83" s="119" t="s">
        <v>125</v>
      </c>
      <c r="C83" s="119" t="s">
        <v>39</v>
      </c>
      <c r="D83" s="120" t="s">
        <v>25</v>
      </c>
      <c r="E83" s="120" t="s">
        <v>4</v>
      </c>
      <c r="F83" s="121">
        <v>0.047721</v>
      </c>
      <c r="G83" s="122">
        <v>206000</v>
      </c>
      <c r="H83" s="123">
        <f t="shared" si="7"/>
        <v>9830.526</v>
      </c>
      <c r="I83">
        <v>36</v>
      </c>
      <c r="J83" s="124">
        <f t="shared" si="8"/>
        <v>353898.936</v>
      </c>
    </row>
    <row r="84" spans="1:10" ht="15" customHeight="1">
      <c r="A84" s="119" t="s">
        <v>110</v>
      </c>
      <c r="B84" s="119" t="s">
        <v>126</v>
      </c>
      <c r="C84" s="119" t="s">
        <v>39</v>
      </c>
      <c r="D84" s="120" t="s">
        <v>25</v>
      </c>
      <c r="E84" s="120" t="s">
        <v>4</v>
      </c>
      <c r="F84" s="121">
        <v>0.695443</v>
      </c>
      <c r="G84" s="122">
        <v>206000</v>
      </c>
      <c r="H84" s="123">
        <f t="shared" si="7"/>
        <v>143261.258</v>
      </c>
      <c r="I84">
        <v>1</v>
      </c>
      <c r="J84" s="124">
        <f t="shared" si="8"/>
        <v>143261.258</v>
      </c>
    </row>
    <row r="85" spans="2:10" ht="15" customHeight="1">
      <c r="B85" s="119"/>
      <c r="C85" s="119"/>
      <c r="D85" s="120"/>
      <c r="E85" s="120"/>
      <c r="F85" s="121"/>
      <c r="G85" s="122"/>
      <c r="H85" s="123"/>
      <c r="J85" s="124"/>
    </row>
    <row r="86" spans="2:10" ht="15" customHeight="1">
      <c r="B86" s="119"/>
      <c r="C86" s="119"/>
      <c r="D86" s="120"/>
      <c r="E86" s="120"/>
      <c r="F86" s="121"/>
      <c r="G86" s="122"/>
      <c r="H86" s="123"/>
      <c r="J86" s="124"/>
    </row>
    <row r="87" spans="2:10" ht="15" customHeight="1">
      <c r="B87" s="119"/>
      <c r="C87" s="119"/>
      <c r="D87" s="120"/>
      <c r="E87" s="120"/>
      <c r="F87" s="121"/>
      <c r="G87" s="122"/>
      <c r="H87" s="123"/>
      <c r="J87" s="124"/>
    </row>
    <row r="88" spans="1:10" ht="24">
      <c r="A88" s="144" t="s">
        <v>127</v>
      </c>
      <c r="B88" s="144"/>
      <c r="C88" s="115" t="s">
        <v>15</v>
      </c>
      <c r="D88" s="116" t="s">
        <v>30</v>
      </c>
      <c r="E88" s="116" t="s">
        <v>31</v>
      </c>
      <c r="F88" s="117" t="s">
        <v>32</v>
      </c>
      <c r="G88" s="118" t="s">
        <v>18</v>
      </c>
      <c r="H88" s="117" t="s">
        <v>19</v>
      </c>
      <c r="I88" s="117" t="s">
        <v>33</v>
      </c>
      <c r="J88" s="117" t="s">
        <v>34</v>
      </c>
    </row>
    <row r="89" spans="1:10" ht="56.25" customHeight="1">
      <c r="A89" s="180" t="s">
        <v>128</v>
      </c>
      <c r="B89" s="180"/>
      <c r="C89" s="180"/>
      <c r="D89" s="180"/>
      <c r="E89" s="180"/>
      <c r="F89" s="119"/>
      <c r="G89" s="119"/>
      <c r="H89" s="119"/>
      <c r="I89" s="119"/>
      <c r="J89" s="119"/>
    </row>
    <row r="90" spans="1:11" ht="15">
      <c r="A90" s="119" t="s">
        <v>129</v>
      </c>
      <c r="B90" s="119" t="s">
        <v>130</v>
      </c>
      <c r="C90" s="119" t="s">
        <v>53</v>
      </c>
      <c r="D90" s="120" t="s">
        <v>25</v>
      </c>
      <c r="E90" s="120" t="s">
        <v>59</v>
      </c>
      <c r="F90" s="146">
        <v>91.14</v>
      </c>
      <c r="G90" s="122">
        <v>1</v>
      </c>
      <c r="H90" s="123">
        <f>G90*F90</f>
        <v>91.14</v>
      </c>
      <c r="I90">
        <v>36</v>
      </c>
      <c r="J90" s="124">
        <f>I90*H90</f>
        <v>3281.04</v>
      </c>
      <c r="K90" s="145"/>
    </row>
    <row r="91" spans="1:11" ht="15">
      <c r="A91" s="119" t="s">
        <v>129</v>
      </c>
      <c r="B91" s="119" t="s">
        <v>131</v>
      </c>
      <c r="C91" s="119" t="s">
        <v>53</v>
      </c>
      <c r="D91" s="120" t="s">
        <v>25</v>
      </c>
      <c r="E91" s="120" t="s">
        <v>59</v>
      </c>
      <c r="F91" s="146">
        <v>168</v>
      </c>
      <c r="G91" s="122">
        <v>1</v>
      </c>
      <c r="H91" s="123">
        <f aca="true" t="shared" si="9" ref="H91:H123">G91*F91</f>
        <v>168</v>
      </c>
      <c r="I91">
        <v>36</v>
      </c>
      <c r="J91" s="124">
        <f aca="true" t="shared" si="10" ref="J91:J123">I91*H91</f>
        <v>6048</v>
      </c>
      <c r="K91" s="145"/>
    </row>
    <row r="92" spans="1:11" ht="15">
      <c r="A92" s="119" t="s">
        <v>129</v>
      </c>
      <c r="B92" s="119" t="s">
        <v>132</v>
      </c>
      <c r="C92" s="119" t="s">
        <v>53</v>
      </c>
      <c r="D92" s="120" t="s">
        <v>25</v>
      </c>
      <c r="E92" s="120" t="s">
        <v>59</v>
      </c>
      <c r="F92" s="146">
        <v>101.78</v>
      </c>
      <c r="G92" s="122">
        <v>1</v>
      </c>
      <c r="H92" s="123">
        <f t="shared" si="9"/>
        <v>101.78</v>
      </c>
      <c r="I92">
        <v>36</v>
      </c>
      <c r="J92" s="124">
        <f t="shared" si="10"/>
        <v>3664.08</v>
      </c>
      <c r="K92" s="145"/>
    </row>
    <row r="93" spans="1:11" ht="15">
      <c r="A93" s="119" t="s">
        <v>129</v>
      </c>
      <c r="B93" s="119" t="s">
        <v>133</v>
      </c>
      <c r="C93" s="119" t="s">
        <v>53</v>
      </c>
      <c r="D93" s="120" t="s">
        <v>25</v>
      </c>
      <c r="E93" s="120" t="s">
        <v>59</v>
      </c>
      <c r="F93" s="146">
        <v>216.2</v>
      </c>
      <c r="G93" s="122">
        <v>1</v>
      </c>
      <c r="H93" s="123">
        <f t="shared" si="9"/>
        <v>216.2</v>
      </c>
      <c r="I93">
        <v>36</v>
      </c>
      <c r="J93" s="124">
        <f t="shared" si="10"/>
        <v>7783.2</v>
      </c>
      <c r="K93" s="145"/>
    </row>
    <row r="94" spans="1:11" ht="15">
      <c r="A94" s="119" t="s">
        <v>129</v>
      </c>
      <c r="B94" s="119" t="s">
        <v>134</v>
      </c>
      <c r="C94" s="119" t="s">
        <v>53</v>
      </c>
      <c r="D94" s="120" t="s">
        <v>25</v>
      </c>
      <c r="E94" s="120" t="s">
        <v>59</v>
      </c>
      <c r="F94" s="146">
        <v>208.53</v>
      </c>
      <c r="G94" s="122">
        <v>1</v>
      </c>
      <c r="H94" s="123">
        <f t="shared" si="9"/>
        <v>208.53</v>
      </c>
      <c r="I94">
        <v>36</v>
      </c>
      <c r="J94" s="124">
        <f t="shared" si="10"/>
        <v>7507.08</v>
      </c>
      <c r="K94" s="145"/>
    </row>
    <row r="95" spans="1:11" ht="15">
      <c r="A95" s="119" t="s">
        <v>129</v>
      </c>
      <c r="B95" s="119" t="s">
        <v>135</v>
      </c>
      <c r="C95" s="119" t="s">
        <v>53</v>
      </c>
      <c r="D95" s="120" t="s">
        <v>25</v>
      </c>
      <c r="E95" s="120" t="s">
        <v>59</v>
      </c>
      <c r="F95" s="146">
        <v>384.48</v>
      </c>
      <c r="G95" s="122">
        <v>1</v>
      </c>
      <c r="H95" s="123">
        <f t="shared" si="9"/>
        <v>384.48</v>
      </c>
      <c r="I95">
        <v>36</v>
      </c>
      <c r="J95" s="124">
        <f t="shared" si="10"/>
        <v>13841.28</v>
      </c>
      <c r="K95" s="145"/>
    </row>
    <row r="96" spans="1:11" ht="15">
      <c r="A96" s="119" t="s">
        <v>129</v>
      </c>
      <c r="B96" s="119" t="s">
        <v>136</v>
      </c>
      <c r="C96" s="119" t="s">
        <v>53</v>
      </c>
      <c r="D96" s="120" t="s">
        <v>25</v>
      </c>
      <c r="E96" s="120" t="s">
        <v>59</v>
      </c>
      <c r="F96" s="146">
        <v>1081.48</v>
      </c>
      <c r="G96" s="122">
        <v>1</v>
      </c>
      <c r="H96" s="123">
        <f t="shared" si="9"/>
        <v>1081.48</v>
      </c>
      <c r="I96">
        <v>36</v>
      </c>
      <c r="J96" s="124">
        <f t="shared" si="10"/>
        <v>38933.28</v>
      </c>
      <c r="K96" s="145"/>
    </row>
    <row r="97" spans="1:11" ht="15">
      <c r="A97" s="119" t="s">
        <v>129</v>
      </c>
      <c r="B97" s="119" t="s">
        <v>137</v>
      </c>
      <c r="C97" s="119" t="s">
        <v>53</v>
      </c>
      <c r="D97" s="120" t="s">
        <v>25</v>
      </c>
      <c r="E97" s="120" t="s">
        <v>59</v>
      </c>
      <c r="F97" s="146">
        <v>2289.94</v>
      </c>
      <c r="G97" s="122">
        <v>1</v>
      </c>
      <c r="H97" s="123">
        <f t="shared" si="9"/>
        <v>2289.94</v>
      </c>
      <c r="I97">
        <v>36</v>
      </c>
      <c r="J97" s="124">
        <f t="shared" si="10"/>
        <v>82437.84</v>
      </c>
      <c r="K97" s="145"/>
    </row>
    <row r="98" spans="1:11" ht="15">
      <c r="A98" s="119" t="s">
        <v>129</v>
      </c>
      <c r="B98" s="119" t="s">
        <v>138</v>
      </c>
      <c r="C98" s="119" t="s">
        <v>53</v>
      </c>
      <c r="D98" s="120" t="s">
        <v>25</v>
      </c>
      <c r="E98" s="120" t="s">
        <v>59</v>
      </c>
      <c r="F98" s="146">
        <v>126.12</v>
      </c>
      <c r="G98" s="122">
        <v>1</v>
      </c>
      <c r="H98" s="123">
        <f t="shared" si="9"/>
        <v>126.12</v>
      </c>
      <c r="I98">
        <v>36</v>
      </c>
      <c r="J98" s="124">
        <f t="shared" si="10"/>
        <v>4540.32</v>
      </c>
      <c r="K98" s="145"/>
    </row>
    <row r="99" spans="1:11" ht="15">
      <c r="A99" s="119" t="s">
        <v>129</v>
      </c>
      <c r="B99" s="119" t="s">
        <v>139</v>
      </c>
      <c r="C99" s="119" t="s">
        <v>53</v>
      </c>
      <c r="D99" s="120" t="s">
        <v>25</v>
      </c>
      <c r="E99" s="120" t="s">
        <v>59</v>
      </c>
      <c r="F99" s="146">
        <v>719.42</v>
      </c>
      <c r="G99" s="122">
        <v>1</v>
      </c>
      <c r="H99" s="123">
        <f t="shared" si="9"/>
        <v>719.42</v>
      </c>
      <c r="I99">
        <v>36</v>
      </c>
      <c r="J99" s="124">
        <f t="shared" si="10"/>
        <v>25899.12</v>
      </c>
      <c r="K99" s="145"/>
    </row>
    <row r="100" spans="1:11" ht="15">
      <c r="A100" s="119" t="s">
        <v>129</v>
      </c>
      <c r="B100" s="119" t="s">
        <v>140</v>
      </c>
      <c r="C100" s="119" t="s">
        <v>53</v>
      </c>
      <c r="D100" s="120" t="s">
        <v>25</v>
      </c>
      <c r="E100" s="120" t="s">
        <v>59</v>
      </c>
      <c r="F100" s="146">
        <v>84.08</v>
      </c>
      <c r="G100" s="122">
        <v>1</v>
      </c>
      <c r="H100" s="123">
        <f t="shared" si="9"/>
        <v>84.08</v>
      </c>
      <c r="I100">
        <v>36</v>
      </c>
      <c r="J100" s="124">
        <f t="shared" si="10"/>
        <v>3026.88</v>
      </c>
      <c r="K100" s="145"/>
    </row>
    <row r="101" spans="1:11" ht="15">
      <c r="A101" s="119" t="s">
        <v>129</v>
      </c>
      <c r="B101" s="119" t="s">
        <v>141</v>
      </c>
      <c r="C101" s="119" t="s">
        <v>53</v>
      </c>
      <c r="D101" s="120" t="s">
        <v>25</v>
      </c>
      <c r="E101" s="120" t="s">
        <v>59</v>
      </c>
      <c r="F101" s="146">
        <v>204.09</v>
      </c>
      <c r="G101" s="122">
        <v>1</v>
      </c>
      <c r="H101" s="123">
        <f t="shared" si="9"/>
        <v>204.09</v>
      </c>
      <c r="I101">
        <v>36</v>
      </c>
      <c r="J101" s="124">
        <f t="shared" si="10"/>
        <v>7347.24</v>
      </c>
      <c r="K101" s="145"/>
    </row>
    <row r="102" spans="1:11" ht="15">
      <c r="A102" s="119" t="s">
        <v>129</v>
      </c>
      <c r="B102" s="119" t="s">
        <v>142</v>
      </c>
      <c r="C102" s="119" t="s">
        <v>53</v>
      </c>
      <c r="D102" s="120" t="s">
        <v>25</v>
      </c>
      <c r="E102" s="120" t="s">
        <v>59</v>
      </c>
      <c r="F102" s="146">
        <v>24.92</v>
      </c>
      <c r="G102" s="122">
        <v>1</v>
      </c>
      <c r="H102" s="123">
        <f t="shared" si="9"/>
        <v>24.92</v>
      </c>
      <c r="I102">
        <v>36</v>
      </c>
      <c r="J102" s="124">
        <f t="shared" si="10"/>
        <v>897.1200000000001</v>
      </c>
      <c r="K102" s="145"/>
    </row>
    <row r="103" spans="1:11" ht="15">
      <c r="A103" s="119" t="s">
        <v>129</v>
      </c>
      <c r="B103" s="119" t="s">
        <v>143</v>
      </c>
      <c r="C103" s="119" t="s">
        <v>53</v>
      </c>
      <c r="D103" s="120" t="s">
        <v>25</v>
      </c>
      <c r="E103" s="120" t="s">
        <v>59</v>
      </c>
      <c r="F103" s="146">
        <v>394.83</v>
      </c>
      <c r="G103" s="122">
        <v>1</v>
      </c>
      <c r="H103" s="123">
        <f t="shared" si="9"/>
        <v>394.83</v>
      </c>
      <c r="I103">
        <v>36</v>
      </c>
      <c r="J103" s="124">
        <f t="shared" si="10"/>
        <v>14213.88</v>
      </c>
      <c r="K103" s="145"/>
    </row>
    <row r="104" spans="1:11" ht="15">
      <c r="A104" s="119" t="s">
        <v>129</v>
      </c>
      <c r="B104" s="119" t="s">
        <v>144</v>
      </c>
      <c r="C104" s="119" t="s">
        <v>53</v>
      </c>
      <c r="D104" s="120" t="s">
        <v>25</v>
      </c>
      <c r="E104" s="120" t="s">
        <v>59</v>
      </c>
      <c r="F104" s="146">
        <v>1811.25</v>
      </c>
      <c r="G104" s="122">
        <v>1</v>
      </c>
      <c r="H104" s="123">
        <f t="shared" si="9"/>
        <v>1811.25</v>
      </c>
      <c r="I104">
        <v>36</v>
      </c>
      <c r="J104" s="124">
        <f t="shared" si="10"/>
        <v>65205</v>
      </c>
      <c r="K104" s="145"/>
    </row>
    <row r="105" spans="1:11" ht="15">
      <c r="A105" s="119" t="s">
        <v>129</v>
      </c>
      <c r="B105" s="119" t="s">
        <v>145</v>
      </c>
      <c r="C105" s="119" t="s">
        <v>53</v>
      </c>
      <c r="D105" s="120" t="s">
        <v>25</v>
      </c>
      <c r="E105" s="120" t="s">
        <v>59</v>
      </c>
      <c r="F105" s="146">
        <v>936.77</v>
      </c>
      <c r="G105" s="122">
        <v>1</v>
      </c>
      <c r="H105" s="123">
        <f t="shared" si="9"/>
        <v>936.77</v>
      </c>
      <c r="I105">
        <v>36</v>
      </c>
      <c r="J105" s="124">
        <f t="shared" si="10"/>
        <v>33723.72</v>
      </c>
      <c r="K105" s="145"/>
    </row>
    <row r="106" spans="1:11" ht="15">
      <c r="A106" s="119" t="s">
        <v>129</v>
      </c>
      <c r="B106" s="119" t="s">
        <v>146</v>
      </c>
      <c r="C106" s="119" t="s">
        <v>53</v>
      </c>
      <c r="D106" s="120" t="s">
        <v>25</v>
      </c>
      <c r="E106" s="120" t="s">
        <v>59</v>
      </c>
      <c r="F106" s="146">
        <v>1524.55</v>
      </c>
      <c r="G106" s="122">
        <v>1</v>
      </c>
      <c r="H106" s="123">
        <f t="shared" si="9"/>
        <v>1524.55</v>
      </c>
      <c r="I106">
        <v>36</v>
      </c>
      <c r="J106" s="124">
        <f t="shared" si="10"/>
        <v>54883.799999999996</v>
      </c>
      <c r="K106" s="145"/>
    </row>
    <row r="107" spans="1:11" ht="15">
      <c r="A107" s="119" t="s">
        <v>129</v>
      </c>
      <c r="B107" s="119" t="s">
        <v>147</v>
      </c>
      <c r="C107" s="119" t="s">
        <v>53</v>
      </c>
      <c r="D107" s="120" t="s">
        <v>25</v>
      </c>
      <c r="E107" s="120" t="s">
        <v>59</v>
      </c>
      <c r="F107" s="146">
        <v>50.79</v>
      </c>
      <c r="G107" s="122">
        <v>1</v>
      </c>
      <c r="H107" s="123">
        <f t="shared" si="9"/>
        <v>50.79</v>
      </c>
      <c r="I107">
        <v>36</v>
      </c>
      <c r="J107" s="124">
        <f t="shared" si="10"/>
        <v>1828.44</v>
      </c>
      <c r="K107" s="145"/>
    </row>
    <row r="108" spans="1:11" ht="15">
      <c r="A108" s="119" t="s">
        <v>129</v>
      </c>
      <c r="B108" s="119" t="s">
        <v>148</v>
      </c>
      <c r="C108" s="119" t="s">
        <v>53</v>
      </c>
      <c r="D108" s="120" t="s">
        <v>25</v>
      </c>
      <c r="E108" s="120" t="s">
        <v>59</v>
      </c>
      <c r="F108" s="146">
        <v>805</v>
      </c>
      <c r="G108" s="122">
        <v>1</v>
      </c>
      <c r="H108" s="123">
        <f t="shared" si="9"/>
        <v>805</v>
      </c>
      <c r="I108">
        <v>36</v>
      </c>
      <c r="J108" s="124">
        <f t="shared" si="10"/>
        <v>28980</v>
      </c>
      <c r="K108" s="145"/>
    </row>
    <row r="109" spans="1:11" ht="15">
      <c r="A109" s="119" t="s">
        <v>129</v>
      </c>
      <c r="B109" s="119" t="s">
        <v>149</v>
      </c>
      <c r="C109" s="119" t="s">
        <v>53</v>
      </c>
      <c r="D109" s="120" t="s">
        <v>25</v>
      </c>
      <c r="E109" s="120" t="s">
        <v>59</v>
      </c>
      <c r="F109" s="146">
        <v>2817.5</v>
      </c>
      <c r="G109" s="122">
        <v>1</v>
      </c>
      <c r="H109" s="123">
        <f t="shared" si="9"/>
        <v>2817.5</v>
      </c>
      <c r="I109">
        <v>36</v>
      </c>
      <c r="J109" s="124">
        <f t="shared" si="10"/>
        <v>101430</v>
      </c>
      <c r="K109" s="145"/>
    </row>
    <row r="110" spans="1:11" ht="15">
      <c r="A110" s="119" t="s">
        <v>129</v>
      </c>
      <c r="B110" s="119" t="s">
        <v>150</v>
      </c>
      <c r="C110" s="119" t="s">
        <v>53</v>
      </c>
      <c r="D110" s="120" t="s">
        <v>25</v>
      </c>
      <c r="E110" s="120" t="s">
        <v>59</v>
      </c>
      <c r="F110" s="146">
        <v>322.38</v>
      </c>
      <c r="G110" s="122">
        <v>1</v>
      </c>
      <c r="H110" s="123">
        <f t="shared" si="9"/>
        <v>322.38</v>
      </c>
      <c r="I110">
        <v>36</v>
      </c>
      <c r="J110" s="124">
        <f t="shared" si="10"/>
        <v>11605.68</v>
      </c>
      <c r="K110" s="145"/>
    </row>
    <row r="111" spans="1:11" ht="15">
      <c r="A111" s="119" t="s">
        <v>129</v>
      </c>
      <c r="B111" s="119" t="s">
        <v>151</v>
      </c>
      <c r="C111" s="119" t="s">
        <v>53</v>
      </c>
      <c r="D111" s="120" t="s">
        <v>25</v>
      </c>
      <c r="E111" s="120" t="s">
        <v>59</v>
      </c>
      <c r="F111" s="146">
        <v>761.4</v>
      </c>
      <c r="G111" s="122">
        <v>1</v>
      </c>
      <c r="H111" s="123">
        <f t="shared" si="9"/>
        <v>761.4</v>
      </c>
      <c r="I111">
        <v>36</v>
      </c>
      <c r="J111" s="124">
        <f t="shared" si="10"/>
        <v>27410.399999999998</v>
      </c>
      <c r="K111" s="145"/>
    </row>
    <row r="112" spans="1:11" ht="15">
      <c r="A112" s="119" t="s">
        <v>129</v>
      </c>
      <c r="B112" s="119" t="s">
        <v>152</v>
      </c>
      <c r="C112" s="119" t="s">
        <v>53</v>
      </c>
      <c r="D112" s="120" t="s">
        <v>25</v>
      </c>
      <c r="E112" s="120" t="s">
        <v>59</v>
      </c>
      <c r="F112" s="146">
        <v>1849.87</v>
      </c>
      <c r="G112" s="122">
        <v>1</v>
      </c>
      <c r="H112" s="123">
        <f t="shared" si="9"/>
        <v>1849.87</v>
      </c>
      <c r="I112">
        <v>36</v>
      </c>
      <c r="J112" s="124">
        <f t="shared" si="10"/>
        <v>66595.31999999999</v>
      </c>
      <c r="K112" s="145"/>
    </row>
    <row r="113" spans="1:11" ht="15">
      <c r="A113" s="119" t="s">
        <v>129</v>
      </c>
      <c r="B113" s="119" t="s">
        <v>153</v>
      </c>
      <c r="C113" s="119" t="s">
        <v>53</v>
      </c>
      <c r="D113" s="120" t="s">
        <v>25</v>
      </c>
      <c r="E113" s="120" t="s">
        <v>59</v>
      </c>
      <c r="F113" s="146">
        <v>3264.85</v>
      </c>
      <c r="G113" s="122">
        <v>1</v>
      </c>
      <c r="H113" s="123">
        <f t="shared" si="9"/>
        <v>3264.85</v>
      </c>
      <c r="I113">
        <v>36</v>
      </c>
      <c r="J113" s="124">
        <f t="shared" si="10"/>
        <v>117534.59999999999</v>
      </c>
      <c r="K113" s="145"/>
    </row>
    <row r="114" spans="1:11" ht="15">
      <c r="A114" s="119" t="s">
        <v>129</v>
      </c>
      <c r="B114" s="119" t="s">
        <v>154</v>
      </c>
      <c r="C114" s="119" t="s">
        <v>53</v>
      </c>
      <c r="D114" s="120" t="s">
        <v>25</v>
      </c>
      <c r="E114" s="120" t="s">
        <v>59</v>
      </c>
      <c r="F114" s="146">
        <v>153.47</v>
      </c>
      <c r="G114" s="122">
        <v>1</v>
      </c>
      <c r="H114" s="123">
        <f t="shared" si="9"/>
        <v>153.47</v>
      </c>
      <c r="I114">
        <v>36</v>
      </c>
      <c r="J114" s="124">
        <f t="shared" si="10"/>
        <v>5524.92</v>
      </c>
      <c r="K114" s="145"/>
    </row>
    <row r="115" spans="1:11" ht="15">
      <c r="A115" s="119" t="s">
        <v>129</v>
      </c>
      <c r="B115" s="119" t="s">
        <v>155</v>
      </c>
      <c r="C115" s="119" t="s">
        <v>53</v>
      </c>
      <c r="D115" s="120" t="s">
        <v>25</v>
      </c>
      <c r="E115" s="120" t="s">
        <v>59</v>
      </c>
      <c r="F115" s="146">
        <v>186.63</v>
      </c>
      <c r="G115" s="122">
        <v>1</v>
      </c>
      <c r="H115" s="123">
        <f t="shared" si="9"/>
        <v>186.63</v>
      </c>
      <c r="I115">
        <v>36</v>
      </c>
      <c r="J115" s="124">
        <f t="shared" si="10"/>
        <v>6718.68</v>
      </c>
      <c r="K115" s="145"/>
    </row>
    <row r="116" spans="1:11" ht="24">
      <c r="A116" s="119" t="s">
        <v>129</v>
      </c>
      <c r="B116" s="119" t="s">
        <v>156</v>
      </c>
      <c r="C116" s="119" t="s">
        <v>53</v>
      </c>
      <c r="D116" s="120" t="s">
        <v>25</v>
      </c>
      <c r="E116" s="120" t="s">
        <v>59</v>
      </c>
      <c r="F116" s="146">
        <v>443.45</v>
      </c>
      <c r="G116" s="122">
        <v>1</v>
      </c>
      <c r="H116" s="123">
        <f t="shared" si="9"/>
        <v>443.45</v>
      </c>
      <c r="I116">
        <v>36</v>
      </c>
      <c r="J116" s="124">
        <f t="shared" si="10"/>
        <v>15964.199999999999</v>
      </c>
      <c r="K116" s="145"/>
    </row>
    <row r="117" spans="1:11" ht="24">
      <c r="A117" s="119" t="s">
        <v>129</v>
      </c>
      <c r="B117" s="119" t="s">
        <v>157</v>
      </c>
      <c r="C117" s="119" t="s">
        <v>53</v>
      </c>
      <c r="D117" s="120" t="s">
        <v>25</v>
      </c>
      <c r="E117" s="120" t="s">
        <v>59</v>
      </c>
      <c r="F117" s="146">
        <v>1729.54</v>
      </c>
      <c r="G117" s="122">
        <v>1</v>
      </c>
      <c r="H117" s="123">
        <f t="shared" si="9"/>
        <v>1729.54</v>
      </c>
      <c r="I117">
        <v>36</v>
      </c>
      <c r="J117" s="124">
        <f t="shared" si="10"/>
        <v>62263.44</v>
      </c>
      <c r="K117" s="145"/>
    </row>
    <row r="118" spans="1:11" ht="15">
      <c r="A118" s="119" t="s">
        <v>129</v>
      </c>
      <c r="B118" s="119" t="s">
        <v>158</v>
      </c>
      <c r="C118" s="119" t="s">
        <v>53</v>
      </c>
      <c r="D118" s="120" t="s">
        <v>25</v>
      </c>
      <c r="E118" s="120" t="s">
        <v>59</v>
      </c>
      <c r="F118" s="146">
        <v>131.59</v>
      </c>
      <c r="G118" s="122">
        <v>1</v>
      </c>
      <c r="H118" s="123">
        <f t="shared" si="9"/>
        <v>131.59</v>
      </c>
      <c r="I118">
        <v>36</v>
      </c>
      <c r="J118" s="124">
        <f t="shared" si="10"/>
        <v>4737.24</v>
      </c>
      <c r="K118" s="145"/>
    </row>
    <row r="119" spans="1:11" ht="15">
      <c r="A119" s="119" t="s">
        <v>129</v>
      </c>
      <c r="B119" s="119" t="s">
        <v>159</v>
      </c>
      <c r="C119" s="119" t="s">
        <v>53</v>
      </c>
      <c r="D119" s="120" t="s">
        <v>25</v>
      </c>
      <c r="E119" s="120" t="s">
        <v>59</v>
      </c>
      <c r="F119" s="146">
        <v>166.8</v>
      </c>
      <c r="G119" s="122">
        <v>1</v>
      </c>
      <c r="H119" s="123">
        <f t="shared" si="9"/>
        <v>166.8</v>
      </c>
      <c r="I119">
        <v>36</v>
      </c>
      <c r="J119" s="124">
        <f t="shared" si="10"/>
        <v>6004.8</v>
      </c>
      <c r="K119" s="145"/>
    </row>
    <row r="120" spans="1:11" ht="24">
      <c r="A120" s="119" t="s">
        <v>129</v>
      </c>
      <c r="B120" s="119" t="s">
        <v>160</v>
      </c>
      <c r="C120" s="119" t="s">
        <v>53</v>
      </c>
      <c r="D120" s="120" t="s">
        <v>25</v>
      </c>
      <c r="E120" s="120" t="s">
        <v>59</v>
      </c>
      <c r="F120" s="146">
        <v>175.69</v>
      </c>
      <c r="G120" s="122">
        <v>1</v>
      </c>
      <c r="H120" s="123">
        <f t="shared" si="9"/>
        <v>175.69</v>
      </c>
      <c r="I120">
        <v>36</v>
      </c>
      <c r="J120" s="124">
        <f t="shared" si="10"/>
        <v>6324.84</v>
      </c>
      <c r="K120" s="145"/>
    </row>
    <row r="121" spans="1:11" ht="15">
      <c r="A121" s="119" t="s">
        <v>129</v>
      </c>
      <c r="B121" s="119" t="s">
        <v>161</v>
      </c>
      <c r="C121" s="119" t="s">
        <v>53</v>
      </c>
      <c r="D121" s="120" t="s">
        <v>25</v>
      </c>
      <c r="E121" s="120" t="s">
        <v>59</v>
      </c>
      <c r="F121" s="146">
        <v>460.75</v>
      </c>
      <c r="G121" s="122">
        <v>1</v>
      </c>
      <c r="H121" s="123">
        <f t="shared" si="9"/>
        <v>460.75</v>
      </c>
      <c r="I121">
        <v>36</v>
      </c>
      <c r="J121" s="124">
        <f t="shared" si="10"/>
        <v>16587</v>
      </c>
      <c r="K121" s="145"/>
    </row>
    <row r="122" spans="1:11" ht="15">
      <c r="A122" s="119" t="s">
        <v>129</v>
      </c>
      <c r="B122" s="119" t="s">
        <v>162</v>
      </c>
      <c r="C122" s="119" t="s">
        <v>53</v>
      </c>
      <c r="D122" s="120" t="s">
        <v>25</v>
      </c>
      <c r="E122" s="120" t="s">
        <v>59</v>
      </c>
      <c r="F122" s="146">
        <v>583.8</v>
      </c>
      <c r="G122" s="122">
        <v>1</v>
      </c>
      <c r="H122" s="123">
        <f t="shared" si="9"/>
        <v>583.8</v>
      </c>
      <c r="I122">
        <v>36</v>
      </c>
      <c r="J122" s="124">
        <f t="shared" si="10"/>
        <v>21016.8</v>
      </c>
      <c r="K122" s="145"/>
    </row>
    <row r="123" spans="1:11" ht="24">
      <c r="A123" s="119" t="s">
        <v>129</v>
      </c>
      <c r="B123" s="119" t="s">
        <v>163</v>
      </c>
      <c r="C123" s="119" t="s">
        <v>53</v>
      </c>
      <c r="D123" s="120" t="s">
        <v>25</v>
      </c>
      <c r="E123" s="120" t="s">
        <v>59</v>
      </c>
      <c r="F123" s="146">
        <v>614.57</v>
      </c>
      <c r="G123" s="122">
        <v>1</v>
      </c>
      <c r="H123" s="123">
        <f t="shared" si="9"/>
        <v>614.57</v>
      </c>
      <c r="I123">
        <v>36</v>
      </c>
      <c r="J123" s="124">
        <f t="shared" si="10"/>
        <v>22124.52</v>
      </c>
      <c r="K123" s="145"/>
    </row>
    <row r="124" spans="1:10" ht="15">
      <c r="A124" s="119"/>
      <c r="B124" s="119"/>
      <c r="C124" s="119"/>
      <c r="D124" s="120"/>
      <c r="E124" s="120"/>
      <c r="F124" s="121"/>
      <c r="G124" s="122"/>
      <c r="H124" s="123"/>
      <c r="J124" s="124"/>
    </row>
    <row r="125" spans="1:10" ht="15">
      <c r="A125" s="119"/>
      <c r="B125" s="119"/>
      <c r="C125" s="119"/>
      <c r="D125" s="140"/>
      <c r="E125" s="140"/>
      <c r="F125" s="141"/>
      <c r="H125" s="142"/>
      <c r="J125" s="143"/>
    </row>
    <row r="126" spans="1:10" ht="24">
      <c r="A126" s="115" t="s">
        <v>164</v>
      </c>
      <c r="B126" s="115"/>
      <c r="C126" s="115" t="s">
        <v>15</v>
      </c>
      <c r="D126" s="116" t="s">
        <v>30</v>
      </c>
      <c r="E126" s="116" t="s">
        <v>31</v>
      </c>
      <c r="F126" s="117" t="s">
        <v>32</v>
      </c>
      <c r="G126" s="118" t="s">
        <v>18</v>
      </c>
      <c r="H126" s="117" t="s">
        <v>19</v>
      </c>
      <c r="I126" s="117" t="s">
        <v>33</v>
      </c>
      <c r="J126" s="117" t="s">
        <v>34</v>
      </c>
    </row>
    <row r="127" spans="1:10" ht="15">
      <c r="A127" s="119" t="s">
        <v>165</v>
      </c>
      <c r="B127" s="119" t="s">
        <v>166</v>
      </c>
      <c r="C127" s="119" t="s">
        <v>167</v>
      </c>
      <c r="D127" s="120" t="s">
        <v>25</v>
      </c>
      <c r="E127" s="120" t="s">
        <v>4</v>
      </c>
      <c r="F127" s="146">
        <v>6.499999999999999</v>
      </c>
      <c r="G127" s="122">
        <v>1</v>
      </c>
      <c r="H127" s="123">
        <f>F127*G127</f>
        <v>6.499999999999999</v>
      </c>
      <c r="I127">
        <v>36</v>
      </c>
      <c r="J127" s="124">
        <f>H127*I127</f>
        <v>233.99999999999997</v>
      </c>
    </row>
    <row r="128" spans="1:10" ht="15">
      <c r="A128" s="119" t="s">
        <v>165</v>
      </c>
      <c r="B128" s="119" t="s">
        <v>166</v>
      </c>
      <c r="C128" s="119" t="s">
        <v>167</v>
      </c>
      <c r="D128" s="120" t="s">
        <v>25</v>
      </c>
      <c r="E128" s="120" t="s">
        <v>4</v>
      </c>
      <c r="F128" s="146">
        <v>6.499999999999999</v>
      </c>
      <c r="G128" s="122">
        <v>1</v>
      </c>
      <c r="H128" s="123">
        <f aca="true" t="shared" si="11" ref="H128:H179">F128*G128</f>
        <v>6.499999999999999</v>
      </c>
      <c r="I128">
        <v>24</v>
      </c>
      <c r="J128" s="124">
        <f aca="true" t="shared" si="12" ref="J128:J129">H128*I128</f>
        <v>155.99999999999997</v>
      </c>
    </row>
    <row r="129" spans="1:10" ht="15">
      <c r="A129" s="119" t="s">
        <v>165</v>
      </c>
      <c r="B129" s="119" t="s">
        <v>166</v>
      </c>
      <c r="C129" s="119" t="s">
        <v>167</v>
      </c>
      <c r="D129" s="120" t="s">
        <v>25</v>
      </c>
      <c r="E129" s="120" t="s">
        <v>4</v>
      </c>
      <c r="F129" s="146">
        <v>6.499999999999999</v>
      </c>
      <c r="G129" s="122">
        <v>1</v>
      </c>
      <c r="H129" s="123">
        <f t="shared" si="11"/>
        <v>6.499999999999999</v>
      </c>
      <c r="I129">
        <v>12</v>
      </c>
      <c r="J129" s="124">
        <f t="shared" si="12"/>
        <v>77.99999999999999</v>
      </c>
    </row>
    <row r="130" spans="1:10" ht="15">
      <c r="A130" s="119" t="s">
        <v>165</v>
      </c>
      <c r="B130" s="119" t="s">
        <v>168</v>
      </c>
      <c r="C130" s="119" t="s">
        <v>167</v>
      </c>
      <c r="D130" s="120" t="s">
        <v>25</v>
      </c>
      <c r="E130" s="120" t="s">
        <v>4</v>
      </c>
      <c r="F130" s="146">
        <v>5.2</v>
      </c>
      <c r="G130" s="122">
        <v>1</v>
      </c>
      <c r="H130" s="123">
        <f t="shared" si="11"/>
        <v>5.2</v>
      </c>
      <c r="I130">
        <v>36</v>
      </c>
      <c r="J130" s="124">
        <f>H130*I130</f>
        <v>187.20000000000002</v>
      </c>
    </row>
    <row r="131" spans="1:10" ht="15">
      <c r="A131" s="119" t="s">
        <v>165</v>
      </c>
      <c r="B131" s="119" t="s">
        <v>168</v>
      </c>
      <c r="C131" s="119" t="s">
        <v>167</v>
      </c>
      <c r="D131" s="120" t="s">
        <v>25</v>
      </c>
      <c r="E131" s="120" t="s">
        <v>4</v>
      </c>
      <c r="F131" s="146">
        <v>5.2</v>
      </c>
      <c r="G131" s="122">
        <v>1</v>
      </c>
      <c r="H131" s="123">
        <f t="shared" si="11"/>
        <v>5.2</v>
      </c>
      <c r="I131">
        <v>24</v>
      </c>
      <c r="J131" s="124">
        <f aca="true" t="shared" si="13" ref="J131:J132">H131*I131</f>
        <v>124.80000000000001</v>
      </c>
    </row>
    <row r="132" spans="1:10" ht="15">
      <c r="A132" s="119" t="s">
        <v>165</v>
      </c>
      <c r="B132" s="119" t="s">
        <v>168</v>
      </c>
      <c r="C132" s="119" t="s">
        <v>167</v>
      </c>
      <c r="D132" s="120" t="s">
        <v>25</v>
      </c>
      <c r="E132" s="120" t="s">
        <v>4</v>
      </c>
      <c r="F132" s="146">
        <v>5.2</v>
      </c>
      <c r="G132" s="122">
        <v>1</v>
      </c>
      <c r="H132" s="123">
        <f t="shared" si="11"/>
        <v>5.2</v>
      </c>
      <c r="I132">
        <v>12</v>
      </c>
      <c r="J132" s="124">
        <f t="shared" si="13"/>
        <v>62.400000000000006</v>
      </c>
    </row>
    <row r="133" spans="1:10" ht="15">
      <c r="A133" s="119" t="s">
        <v>165</v>
      </c>
      <c r="B133" s="119" t="s">
        <v>169</v>
      </c>
      <c r="C133" s="119" t="s">
        <v>167</v>
      </c>
      <c r="D133" s="120" t="s">
        <v>25</v>
      </c>
      <c r="E133" s="120" t="s">
        <v>4</v>
      </c>
      <c r="F133" s="146">
        <v>6.5</v>
      </c>
      <c r="G133" s="122">
        <v>1</v>
      </c>
      <c r="H133" s="123">
        <f t="shared" si="11"/>
        <v>6.5</v>
      </c>
      <c r="I133">
        <v>36</v>
      </c>
      <c r="J133" s="124">
        <f>H133*I133</f>
        <v>234</v>
      </c>
    </row>
    <row r="134" spans="1:10" ht="15">
      <c r="A134" s="119" t="s">
        <v>165</v>
      </c>
      <c r="B134" s="119" t="s">
        <v>169</v>
      </c>
      <c r="C134" s="119" t="s">
        <v>167</v>
      </c>
      <c r="D134" s="120" t="s">
        <v>25</v>
      </c>
      <c r="E134" s="120" t="s">
        <v>4</v>
      </c>
      <c r="F134" s="146">
        <v>6.5</v>
      </c>
      <c r="G134" s="122">
        <v>1</v>
      </c>
      <c r="H134" s="123">
        <f t="shared" si="11"/>
        <v>6.5</v>
      </c>
      <c r="I134">
        <v>24</v>
      </c>
      <c r="J134" s="124">
        <f aca="true" t="shared" si="14" ref="J134:J135">H134*I134</f>
        <v>156</v>
      </c>
    </row>
    <row r="135" spans="1:10" ht="15">
      <c r="A135" s="119" t="s">
        <v>165</v>
      </c>
      <c r="B135" s="119" t="s">
        <v>169</v>
      </c>
      <c r="C135" s="119" t="s">
        <v>167</v>
      </c>
      <c r="D135" s="120" t="s">
        <v>25</v>
      </c>
      <c r="E135" s="120" t="s">
        <v>4</v>
      </c>
      <c r="F135" s="146">
        <v>6.5</v>
      </c>
      <c r="G135" s="122">
        <v>1</v>
      </c>
      <c r="H135" s="123">
        <f t="shared" si="11"/>
        <v>6.5</v>
      </c>
      <c r="I135">
        <v>12</v>
      </c>
      <c r="J135" s="124">
        <f t="shared" si="14"/>
        <v>78</v>
      </c>
    </row>
    <row r="136" spans="1:10" ht="15">
      <c r="A136" s="119" t="s">
        <v>165</v>
      </c>
      <c r="B136" s="119" t="s">
        <v>170</v>
      </c>
      <c r="C136" s="119" t="s">
        <v>167</v>
      </c>
      <c r="D136" s="120" t="s">
        <v>25</v>
      </c>
      <c r="E136" s="120" t="s">
        <v>4</v>
      </c>
      <c r="F136" s="146">
        <v>5.2</v>
      </c>
      <c r="G136" s="122">
        <v>1</v>
      </c>
      <c r="H136" s="123">
        <f t="shared" si="11"/>
        <v>5.2</v>
      </c>
      <c r="I136">
        <v>36</v>
      </c>
      <c r="J136" s="124">
        <f>H136*I136</f>
        <v>187.20000000000002</v>
      </c>
    </row>
    <row r="137" spans="1:10" ht="15">
      <c r="A137" s="119" t="s">
        <v>165</v>
      </c>
      <c r="B137" s="119" t="s">
        <v>170</v>
      </c>
      <c r="C137" s="119" t="s">
        <v>167</v>
      </c>
      <c r="D137" s="120" t="s">
        <v>25</v>
      </c>
      <c r="E137" s="120" t="s">
        <v>4</v>
      </c>
      <c r="F137" s="146">
        <v>5.2</v>
      </c>
      <c r="G137" s="122">
        <v>1</v>
      </c>
      <c r="H137" s="123">
        <f t="shared" si="11"/>
        <v>5.2</v>
      </c>
      <c r="I137">
        <v>24</v>
      </c>
      <c r="J137" s="124">
        <f aca="true" t="shared" si="15" ref="J137:J138">H137*I137</f>
        <v>124.80000000000001</v>
      </c>
    </row>
    <row r="138" spans="1:10" ht="15">
      <c r="A138" s="119" t="s">
        <v>165</v>
      </c>
      <c r="B138" s="119" t="s">
        <v>170</v>
      </c>
      <c r="C138" s="119" t="s">
        <v>167</v>
      </c>
      <c r="D138" s="120" t="s">
        <v>25</v>
      </c>
      <c r="E138" s="120" t="s">
        <v>4</v>
      </c>
      <c r="F138" s="146">
        <v>5.2</v>
      </c>
      <c r="G138" s="122">
        <v>1</v>
      </c>
      <c r="H138" s="123">
        <f t="shared" si="11"/>
        <v>5.2</v>
      </c>
      <c r="I138">
        <v>12</v>
      </c>
      <c r="J138" s="124">
        <f t="shared" si="15"/>
        <v>62.400000000000006</v>
      </c>
    </row>
    <row r="139" spans="1:10" ht="15">
      <c r="A139" s="119" t="s">
        <v>165</v>
      </c>
      <c r="B139" s="119" t="s">
        <v>171</v>
      </c>
      <c r="C139" s="119" t="s">
        <v>167</v>
      </c>
      <c r="D139" s="120" t="s">
        <v>25</v>
      </c>
      <c r="E139" s="120" t="s">
        <v>4</v>
      </c>
      <c r="F139" s="146">
        <v>5.2</v>
      </c>
      <c r="G139" s="122">
        <v>1</v>
      </c>
      <c r="H139" s="123">
        <f t="shared" si="11"/>
        <v>5.2</v>
      </c>
      <c r="I139">
        <v>36</v>
      </c>
      <c r="J139" s="124">
        <f>H139*I139</f>
        <v>187.20000000000002</v>
      </c>
    </row>
    <row r="140" spans="1:10" ht="15">
      <c r="A140" s="119" t="s">
        <v>165</v>
      </c>
      <c r="B140" s="119" t="s">
        <v>171</v>
      </c>
      <c r="C140" s="119" t="s">
        <v>167</v>
      </c>
      <c r="D140" s="120" t="s">
        <v>25</v>
      </c>
      <c r="E140" s="120" t="s">
        <v>4</v>
      </c>
      <c r="F140" s="146">
        <v>5.2</v>
      </c>
      <c r="G140" s="122">
        <v>1</v>
      </c>
      <c r="H140" s="123">
        <f t="shared" si="11"/>
        <v>5.2</v>
      </c>
      <c r="I140">
        <v>24</v>
      </c>
      <c r="J140" s="124">
        <f aca="true" t="shared" si="16" ref="J140:J141">H140*I140</f>
        <v>124.80000000000001</v>
      </c>
    </row>
    <row r="141" spans="1:10" ht="15">
      <c r="A141" s="119" t="s">
        <v>165</v>
      </c>
      <c r="B141" s="119" t="s">
        <v>171</v>
      </c>
      <c r="C141" s="119" t="s">
        <v>167</v>
      </c>
      <c r="D141" s="120" t="s">
        <v>25</v>
      </c>
      <c r="E141" s="120" t="s">
        <v>4</v>
      </c>
      <c r="F141" s="146">
        <v>5.2</v>
      </c>
      <c r="G141" s="122">
        <v>1</v>
      </c>
      <c r="H141" s="123">
        <f t="shared" si="11"/>
        <v>5.2</v>
      </c>
      <c r="I141">
        <v>12</v>
      </c>
      <c r="J141" s="124">
        <f t="shared" si="16"/>
        <v>62.400000000000006</v>
      </c>
    </row>
    <row r="142" spans="1:10" ht="15">
      <c r="A142" s="119" t="s">
        <v>165</v>
      </c>
      <c r="B142" s="119" t="s">
        <v>172</v>
      </c>
      <c r="C142" s="119" t="s">
        <v>167</v>
      </c>
      <c r="D142" s="120" t="s">
        <v>25</v>
      </c>
      <c r="E142" s="120" t="s">
        <v>4</v>
      </c>
      <c r="F142" s="146">
        <v>10.833333333333334</v>
      </c>
      <c r="G142" s="122">
        <v>1</v>
      </c>
      <c r="H142" s="123">
        <f t="shared" si="11"/>
        <v>10.833333333333334</v>
      </c>
      <c r="I142">
        <v>36</v>
      </c>
      <c r="J142" s="124">
        <f>H142*I142</f>
        <v>390</v>
      </c>
    </row>
    <row r="143" spans="1:10" ht="15">
      <c r="A143" s="119" t="s">
        <v>165</v>
      </c>
      <c r="B143" s="119" t="s">
        <v>172</v>
      </c>
      <c r="C143" s="119" t="s">
        <v>167</v>
      </c>
      <c r="D143" s="120" t="s">
        <v>25</v>
      </c>
      <c r="E143" s="120" t="s">
        <v>4</v>
      </c>
      <c r="F143" s="146">
        <v>10.833333333333334</v>
      </c>
      <c r="G143" s="122">
        <v>1</v>
      </c>
      <c r="H143" s="123">
        <f t="shared" si="11"/>
        <v>10.833333333333334</v>
      </c>
      <c r="I143">
        <v>24</v>
      </c>
      <c r="J143" s="124">
        <f aca="true" t="shared" si="17" ref="J143:J144">H143*I143</f>
        <v>260</v>
      </c>
    </row>
    <row r="144" spans="1:10" ht="15">
      <c r="A144" s="119" t="s">
        <v>165</v>
      </c>
      <c r="B144" s="119" t="s">
        <v>172</v>
      </c>
      <c r="C144" s="119" t="s">
        <v>167</v>
      </c>
      <c r="D144" s="120" t="s">
        <v>25</v>
      </c>
      <c r="E144" s="120" t="s">
        <v>4</v>
      </c>
      <c r="F144" s="146">
        <v>10.833333333333334</v>
      </c>
      <c r="G144" s="122">
        <v>1</v>
      </c>
      <c r="H144" s="123">
        <f t="shared" si="11"/>
        <v>10.833333333333334</v>
      </c>
      <c r="I144">
        <v>12</v>
      </c>
      <c r="J144" s="124">
        <f t="shared" si="17"/>
        <v>130</v>
      </c>
    </row>
    <row r="145" spans="1:10" ht="15">
      <c r="A145" s="119" t="s">
        <v>165</v>
      </c>
      <c r="B145" s="119" t="s">
        <v>173</v>
      </c>
      <c r="C145" s="119" t="s">
        <v>167</v>
      </c>
      <c r="D145" s="120" t="s">
        <v>25</v>
      </c>
      <c r="E145" s="120" t="s">
        <v>4</v>
      </c>
      <c r="F145" s="146">
        <v>13.511111111111111</v>
      </c>
      <c r="G145" s="122">
        <v>1</v>
      </c>
      <c r="H145" s="123">
        <f t="shared" si="11"/>
        <v>13.511111111111111</v>
      </c>
      <c r="I145">
        <v>36</v>
      </c>
      <c r="J145" s="124">
        <f>H145*I145</f>
        <v>486.4</v>
      </c>
    </row>
    <row r="146" spans="1:10" ht="15">
      <c r="A146" s="119" t="s">
        <v>165</v>
      </c>
      <c r="B146" s="119" t="s">
        <v>173</v>
      </c>
      <c r="C146" s="119" t="s">
        <v>167</v>
      </c>
      <c r="D146" s="120" t="s">
        <v>25</v>
      </c>
      <c r="E146" s="120" t="s">
        <v>4</v>
      </c>
      <c r="F146" s="146">
        <v>13.511111111111111</v>
      </c>
      <c r="G146" s="122">
        <v>1</v>
      </c>
      <c r="H146" s="123">
        <f t="shared" si="11"/>
        <v>13.511111111111111</v>
      </c>
      <c r="I146">
        <v>24</v>
      </c>
      <c r="J146" s="124">
        <f aca="true" t="shared" si="18" ref="J146:J147">H146*I146</f>
        <v>324.26666666666665</v>
      </c>
    </row>
    <row r="147" spans="1:10" ht="15">
      <c r="A147" s="119" t="s">
        <v>165</v>
      </c>
      <c r="B147" s="119" t="s">
        <v>173</v>
      </c>
      <c r="C147" s="119" t="s">
        <v>167</v>
      </c>
      <c r="D147" s="120" t="s">
        <v>25</v>
      </c>
      <c r="E147" s="120" t="s">
        <v>4</v>
      </c>
      <c r="F147" s="146">
        <v>13.511111111111111</v>
      </c>
      <c r="G147" s="122">
        <v>1</v>
      </c>
      <c r="H147" s="123">
        <f t="shared" si="11"/>
        <v>13.511111111111111</v>
      </c>
      <c r="I147">
        <v>12</v>
      </c>
      <c r="J147" s="124">
        <f t="shared" si="18"/>
        <v>162.13333333333333</v>
      </c>
    </row>
    <row r="148" spans="1:10" ht="15">
      <c r="A148" s="119" t="s">
        <v>165</v>
      </c>
      <c r="B148" s="119" t="s">
        <v>174</v>
      </c>
      <c r="C148" s="119" t="s">
        <v>175</v>
      </c>
      <c r="D148" s="120" t="s">
        <v>25</v>
      </c>
      <c r="E148" s="120" t="s">
        <v>4</v>
      </c>
      <c r="F148" s="146">
        <v>84.5</v>
      </c>
      <c r="G148" s="122">
        <v>1</v>
      </c>
      <c r="H148" s="123">
        <f t="shared" si="11"/>
        <v>84.5</v>
      </c>
      <c r="I148">
        <v>36</v>
      </c>
      <c r="J148" s="124">
        <f>H148*I148</f>
        <v>3042</v>
      </c>
    </row>
    <row r="149" spans="1:10" ht="15">
      <c r="A149" s="119" t="s">
        <v>165</v>
      </c>
      <c r="B149" s="119" t="s">
        <v>174</v>
      </c>
      <c r="C149" s="119" t="s">
        <v>175</v>
      </c>
      <c r="D149" s="120" t="s">
        <v>25</v>
      </c>
      <c r="E149" s="120" t="s">
        <v>4</v>
      </c>
      <c r="F149" s="146">
        <v>84.5</v>
      </c>
      <c r="G149" s="122">
        <v>1</v>
      </c>
      <c r="H149" s="123">
        <f t="shared" si="11"/>
        <v>84.5</v>
      </c>
      <c r="I149">
        <v>24</v>
      </c>
      <c r="J149" s="124">
        <f aca="true" t="shared" si="19" ref="J149:J150">H149*I149</f>
        <v>2028</v>
      </c>
    </row>
    <row r="150" spans="1:10" ht="15">
      <c r="A150" s="119" t="s">
        <v>165</v>
      </c>
      <c r="B150" s="119" t="s">
        <v>174</v>
      </c>
      <c r="C150" s="119" t="s">
        <v>175</v>
      </c>
      <c r="D150" s="120" t="s">
        <v>25</v>
      </c>
      <c r="E150" s="120" t="s">
        <v>4</v>
      </c>
      <c r="F150" s="146">
        <v>84.5</v>
      </c>
      <c r="G150" s="122">
        <v>1</v>
      </c>
      <c r="H150" s="123">
        <f t="shared" si="11"/>
        <v>84.5</v>
      </c>
      <c r="I150">
        <v>12</v>
      </c>
      <c r="J150" s="124">
        <f t="shared" si="19"/>
        <v>1014</v>
      </c>
    </row>
    <row r="151" spans="1:10" ht="15">
      <c r="A151" s="119" t="s">
        <v>165</v>
      </c>
      <c r="B151" s="119" t="s">
        <v>176</v>
      </c>
      <c r="C151" s="119" t="s">
        <v>175</v>
      </c>
      <c r="D151" s="120" t="s">
        <v>25</v>
      </c>
      <c r="E151" s="120" t="s">
        <v>4</v>
      </c>
      <c r="F151" s="146">
        <v>130</v>
      </c>
      <c r="G151" s="122">
        <v>1</v>
      </c>
      <c r="H151" s="123">
        <f t="shared" si="11"/>
        <v>130</v>
      </c>
      <c r="I151">
        <v>36</v>
      </c>
      <c r="J151" s="124">
        <f>H151*I151</f>
        <v>4680</v>
      </c>
    </row>
    <row r="152" spans="1:10" ht="15">
      <c r="A152" s="119" t="s">
        <v>165</v>
      </c>
      <c r="B152" s="119" t="s">
        <v>176</v>
      </c>
      <c r="C152" s="119" t="s">
        <v>175</v>
      </c>
      <c r="D152" s="120" t="s">
        <v>25</v>
      </c>
      <c r="E152" s="120" t="s">
        <v>4</v>
      </c>
      <c r="F152" s="146">
        <v>130</v>
      </c>
      <c r="G152" s="122">
        <v>1</v>
      </c>
      <c r="H152" s="123">
        <f t="shared" si="11"/>
        <v>130</v>
      </c>
      <c r="I152">
        <v>24</v>
      </c>
      <c r="J152" s="124">
        <f aca="true" t="shared" si="20" ref="J152:J153">H152*I152</f>
        <v>3120</v>
      </c>
    </row>
    <row r="153" spans="1:10" ht="15">
      <c r="A153" s="119" t="s">
        <v>165</v>
      </c>
      <c r="B153" s="119" t="s">
        <v>176</v>
      </c>
      <c r="C153" s="119" t="s">
        <v>175</v>
      </c>
      <c r="D153" s="120" t="s">
        <v>25</v>
      </c>
      <c r="E153" s="120" t="s">
        <v>4</v>
      </c>
      <c r="F153" s="146">
        <v>130</v>
      </c>
      <c r="G153" s="122">
        <v>1</v>
      </c>
      <c r="H153" s="123">
        <f t="shared" si="11"/>
        <v>130</v>
      </c>
      <c r="I153">
        <v>12</v>
      </c>
      <c r="J153" s="124">
        <f t="shared" si="20"/>
        <v>1560</v>
      </c>
    </row>
    <row r="154" spans="1:10" ht="15">
      <c r="A154" s="119" t="s">
        <v>165</v>
      </c>
      <c r="B154" s="119" t="s">
        <v>177</v>
      </c>
      <c r="C154" s="119" t="s">
        <v>178</v>
      </c>
      <c r="D154" s="120" t="s">
        <v>25</v>
      </c>
      <c r="E154" s="120" t="s">
        <v>4</v>
      </c>
      <c r="F154" s="146">
        <v>129.85555555555555</v>
      </c>
      <c r="G154" s="122">
        <v>1</v>
      </c>
      <c r="H154" s="123">
        <f t="shared" si="11"/>
        <v>129.85555555555555</v>
      </c>
      <c r="I154">
        <v>36</v>
      </c>
      <c r="J154" s="124">
        <f>H154*I154</f>
        <v>4674.8</v>
      </c>
    </row>
    <row r="155" spans="1:10" ht="15">
      <c r="A155" s="119" t="s">
        <v>165</v>
      </c>
      <c r="B155" s="119" t="s">
        <v>177</v>
      </c>
      <c r="C155" s="119" t="s">
        <v>178</v>
      </c>
      <c r="D155" s="120" t="s">
        <v>25</v>
      </c>
      <c r="E155" s="120" t="s">
        <v>4</v>
      </c>
      <c r="F155" s="146">
        <v>129.85555555555555</v>
      </c>
      <c r="G155" s="122">
        <v>1</v>
      </c>
      <c r="H155" s="123">
        <f t="shared" si="11"/>
        <v>129.85555555555555</v>
      </c>
      <c r="I155">
        <v>24</v>
      </c>
      <c r="J155" s="124">
        <f aca="true" t="shared" si="21" ref="J155:J156">H155*I155</f>
        <v>3116.5333333333333</v>
      </c>
    </row>
    <row r="156" spans="1:10" ht="15">
      <c r="A156" s="119" t="s">
        <v>165</v>
      </c>
      <c r="B156" s="119" t="s">
        <v>177</v>
      </c>
      <c r="C156" s="119" t="s">
        <v>178</v>
      </c>
      <c r="D156" s="120" t="s">
        <v>25</v>
      </c>
      <c r="E156" s="120" t="s">
        <v>4</v>
      </c>
      <c r="F156" s="146">
        <v>129.85555555555555</v>
      </c>
      <c r="G156" s="122">
        <v>1</v>
      </c>
      <c r="H156" s="123">
        <f t="shared" si="11"/>
        <v>129.85555555555555</v>
      </c>
      <c r="I156">
        <v>12</v>
      </c>
      <c r="J156" s="124">
        <f t="shared" si="21"/>
        <v>1558.2666666666667</v>
      </c>
    </row>
    <row r="157" spans="1:10" ht="15">
      <c r="A157" s="119" t="s">
        <v>165</v>
      </c>
      <c r="B157" s="119" t="s">
        <v>179</v>
      </c>
      <c r="C157" s="119" t="s">
        <v>180</v>
      </c>
      <c r="D157" s="120" t="s">
        <v>25</v>
      </c>
      <c r="E157" s="120" t="s">
        <v>4</v>
      </c>
      <c r="F157" s="146">
        <v>28.877777777777776</v>
      </c>
      <c r="G157" s="122">
        <v>1</v>
      </c>
      <c r="H157" s="123">
        <f t="shared" si="11"/>
        <v>28.877777777777776</v>
      </c>
      <c r="I157">
        <v>36</v>
      </c>
      <c r="J157" s="124">
        <f>H157*I157</f>
        <v>1039.6</v>
      </c>
    </row>
    <row r="158" spans="1:10" ht="15">
      <c r="A158" s="119" t="s">
        <v>165</v>
      </c>
      <c r="B158" s="119" t="s">
        <v>179</v>
      </c>
      <c r="C158" s="119" t="s">
        <v>180</v>
      </c>
      <c r="D158" s="120" t="s">
        <v>25</v>
      </c>
      <c r="E158" s="120" t="s">
        <v>4</v>
      </c>
      <c r="F158" s="146">
        <v>28.877777777777776</v>
      </c>
      <c r="G158" s="122">
        <v>1</v>
      </c>
      <c r="H158" s="123">
        <f t="shared" si="11"/>
        <v>28.877777777777776</v>
      </c>
      <c r="I158">
        <v>24</v>
      </c>
      <c r="J158" s="124">
        <f aca="true" t="shared" si="22" ref="J158:J159">H158*I158</f>
        <v>693.0666666666666</v>
      </c>
    </row>
    <row r="159" spans="1:10" ht="15">
      <c r="A159" s="119" t="s">
        <v>165</v>
      </c>
      <c r="B159" s="119" t="s">
        <v>179</v>
      </c>
      <c r="C159" s="119" t="s">
        <v>180</v>
      </c>
      <c r="D159" s="120" t="s">
        <v>25</v>
      </c>
      <c r="E159" s="120" t="s">
        <v>4</v>
      </c>
      <c r="F159" s="146">
        <v>28.877777777777776</v>
      </c>
      <c r="G159" s="122">
        <v>1</v>
      </c>
      <c r="H159" s="123">
        <f t="shared" si="11"/>
        <v>28.877777777777776</v>
      </c>
      <c r="I159">
        <v>12</v>
      </c>
      <c r="J159" s="124">
        <f t="shared" si="22"/>
        <v>346.5333333333333</v>
      </c>
    </row>
    <row r="160" spans="1:10" ht="15">
      <c r="A160" s="119" t="s">
        <v>165</v>
      </c>
      <c r="B160" s="119" t="s">
        <v>181</v>
      </c>
      <c r="C160" s="119" t="s">
        <v>180</v>
      </c>
      <c r="D160" s="120" t="s">
        <v>25</v>
      </c>
      <c r="E160" s="120" t="s">
        <v>4</v>
      </c>
      <c r="F160" s="146">
        <v>79.44444444444444</v>
      </c>
      <c r="G160" s="122">
        <v>1</v>
      </c>
      <c r="H160" s="123">
        <f t="shared" si="11"/>
        <v>79.44444444444444</v>
      </c>
      <c r="I160">
        <v>36</v>
      </c>
      <c r="J160" s="124">
        <f>H160*I160</f>
        <v>2860</v>
      </c>
    </row>
    <row r="161" spans="1:10" ht="15">
      <c r="A161" s="119" t="s">
        <v>165</v>
      </c>
      <c r="B161" s="119" t="s">
        <v>181</v>
      </c>
      <c r="C161" s="119" t="s">
        <v>180</v>
      </c>
      <c r="D161" s="120" t="s">
        <v>25</v>
      </c>
      <c r="E161" s="120" t="s">
        <v>4</v>
      </c>
      <c r="F161" s="146">
        <v>79.44444444444444</v>
      </c>
      <c r="G161" s="122">
        <v>1</v>
      </c>
      <c r="H161" s="123">
        <f t="shared" si="11"/>
        <v>79.44444444444444</v>
      </c>
      <c r="I161">
        <v>24</v>
      </c>
      <c r="J161" s="124">
        <f aca="true" t="shared" si="23" ref="J161:J162">H161*I161</f>
        <v>1906.6666666666665</v>
      </c>
    </row>
    <row r="162" spans="1:10" ht="15">
      <c r="A162" s="119" t="s">
        <v>165</v>
      </c>
      <c r="B162" s="119" t="s">
        <v>181</v>
      </c>
      <c r="C162" s="119" t="s">
        <v>180</v>
      </c>
      <c r="D162" s="120" t="s">
        <v>25</v>
      </c>
      <c r="E162" s="120" t="s">
        <v>4</v>
      </c>
      <c r="F162" s="146">
        <v>79.44444444444444</v>
      </c>
      <c r="G162" s="122">
        <v>1</v>
      </c>
      <c r="H162" s="123">
        <f t="shared" si="11"/>
        <v>79.44444444444444</v>
      </c>
      <c r="I162">
        <v>12</v>
      </c>
      <c r="J162" s="124">
        <f t="shared" si="23"/>
        <v>953.3333333333333</v>
      </c>
    </row>
    <row r="163" spans="1:10" ht="15">
      <c r="A163" s="119" t="s">
        <v>165</v>
      </c>
      <c r="B163" s="119" t="s">
        <v>182</v>
      </c>
      <c r="C163" s="119" t="s">
        <v>183</v>
      </c>
      <c r="D163" s="120" t="s">
        <v>25</v>
      </c>
      <c r="E163" s="120" t="s">
        <v>4</v>
      </c>
      <c r="F163" s="146">
        <v>25.293333333333333</v>
      </c>
      <c r="G163" s="122">
        <v>1</v>
      </c>
      <c r="H163" s="123">
        <f t="shared" si="11"/>
        <v>25.293333333333333</v>
      </c>
      <c r="I163">
        <v>36</v>
      </c>
      <c r="J163" s="124">
        <f>H163*I163</f>
        <v>910.56</v>
      </c>
    </row>
    <row r="164" spans="1:10" ht="15">
      <c r="A164" s="119" t="s">
        <v>165</v>
      </c>
      <c r="B164" s="119" t="s">
        <v>182</v>
      </c>
      <c r="C164" s="119" t="s">
        <v>183</v>
      </c>
      <c r="D164" s="120" t="s">
        <v>25</v>
      </c>
      <c r="E164" s="120" t="s">
        <v>4</v>
      </c>
      <c r="F164" s="146">
        <v>25.293333333333333</v>
      </c>
      <c r="G164" s="122">
        <v>1</v>
      </c>
      <c r="H164" s="123">
        <f t="shared" si="11"/>
        <v>25.293333333333333</v>
      </c>
      <c r="I164">
        <v>24</v>
      </c>
      <c r="J164" s="124">
        <f aca="true" t="shared" si="24" ref="J164:J168">H164*I164</f>
        <v>607.04</v>
      </c>
    </row>
    <row r="165" spans="1:10" ht="15">
      <c r="A165" s="119" t="s">
        <v>165</v>
      </c>
      <c r="B165" s="119" t="s">
        <v>182</v>
      </c>
      <c r="C165" s="119" t="s">
        <v>183</v>
      </c>
      <c r="D165" s="120" t="s">
        <v>25</v>
      </c>
      <c r="E165" s="120" t="s">
        <v>4</v>
      </c>
      <c r="F165" s="146">
        <v>25.293333333333333</v>
      </c>
      <c r="G165" s="122">
        <v>1</v>
      </c>
      <c r="H165" s="123">
        <f t="shared" si="11"/>
        <v>25.293333333333333</v>
      </c>
      <c r="I165">
        <v>12</v>
      </c>
      <c r="J165" s="124">
        <f t="shared" si="24"/>
        <v>303.52</v>
      </c>
    </row>
    <row r="166" spans="1:10" ht="15">
      <c r="A166" s="119" t="s">
        <v>165</v>
      </c>
      <c r="B166" s="119" t="s">
        <v>184</v>
      </c>
      <c r="C166" s="119" t="s">
        <v>183</v>
      </c>
      <c r="D166" s="120" t="s">
        <v>25</v>
      </c>
      <c r="E166" s="120" t="s">
        <v>4</v>
      </c>
      <c r="F166" s="146">
        <v>85.8</v>
      </c>
      <c r="G166" s="122">
        <v>1</v>
      </c>
      <c r="H166" s="123">
        <f t="shared" si="11"/>
        <v>85.8</v>
      </c>
      <c r="I166">
        <v>36</v>
      </c>
      <c r="J166" s="124">
        <f t="shared" si="24"/>
        <v>3088.7999999999997</v>
      </c>
    </row>
    <row r="167" spans="1:10" ht="15">
      <c r="A167" s="119" t="s">
        <v>165</v>
      </c>
      <c r="B167" s="119" t="s">
        <v>184</v>
      </c>
      <c r="C167" s="119" t="s">
        <v>183</v>
      </c>
      <c r="D167" s="120" t="s">
        <v>25</v>
      </c>
      <c r="E167" s="120" t="s">
        <v>4</v>
      </c>
      <c r="F167" s="146">
        <v>85.8</v>
      </c>
      <c r="G167" s="122">
        <v>1</v>
      </c>
      <c r="H167" s="123">
        <f t="shared" si="11"/>
        <v>85.8</v>
      </c>
      <c r="I167">
        <v>24</v>
      </c>
      <c r="J167" s="124">
        <f t="shared" si="24"/>
        <v>2059.2</v>
      </c>
    </row>
    <row r="168" spans="1:10" ht="15">
      <c r="A168" s="119" t="s">
        <v>165</v>
      </c>
      <c r="B168" s="119" t="s">
        <v>184</v>
      </c>
      <c r="C168" s="119" t="s">
        <v>183</v>
      </c>
      <c r="D168" s="120" t="s">
        <v>25</v>
      </c>
      <c r="E168" s="120" t="s">
        <v>4</v>
      </c>
      <c r="F168" s="146">
        <v>85.8</v>
      </c>
      <c r="G168" s="122">
        <v>1</v>
      </c>
      <c r="H168" s="123">
        <f t="shared" si="11"/>
        <v>85.8</v>
      </c>
      <c r="I168">
        <v>12</v>
      </c>
      <c r="J168" s="124">
        <f t="shared" si="24"/>
        <v>1029.6</v>
      </c>
    </row>
    <row r="169" spans="1:10" ht="15">
      <c r="A169" s="119" t="s">
        <v>165</v>
      </c>
      <c r="B169" s="119" t="s">
        <v>185</v>
      </c>
      <c r="C169" s="119" t="s">
        <v>183</v>
      </c>
      <c r="D169" s="120" t="s">
        <v>25</v>
      </c>
      <c r="E169" s="120" t="s">
        <v>4</v>
      </c>
      <c r="F169" s="146">
        <v>25.293333333333333</v>
      </c>
      <c r="G169" s="122">
        <v>1</v>
      </c>
      <c r="H169" s="123">
        <f t="shared" si="11"/>
        <v>25.293333333333333</v>
      </c>
      <c r="I169">
        <v>36</v>
      </c>
      <c r="J169" s="124">
        <f>H169*I169</f>
        <v>910.56</v>
      </c>
    </row>
    <row r="170" spans="1:10" ht="15">
      <c r="A170" s="119" t="s">
        <v>165</v>
      </c>
      <c r="B170" s="119" t="s">
        <v>185</v>
      </c>
      <c r="C170" s="119" t="s">
        <v>183</v>
      </c>
      <c r="D170" s="120" t="s">
        <v>25</v>
      </c>
      <c r="E170" s="120" t="s">
        <v>4</v>
      </c>
      <c r="F170" s="146">
        <v>25.293333333333333</v>
      </c>
      <c r="G170" s="122">
        <v>1</v>
      </c>
      <c r="H170" s="123">
        <f t="shared" si="11"/>
        <v>25.293333333333333</v>
      </c>
      <c r="I170">
        <v>24</v>
      </c>
      <c r="J170" s="124">
        <f aca="true" t="shared" si="25" ref="J170:J174">H170*I170</f>
        <v>607.04</v>
      </c>
    </row>
    <row r="171" spans="1:10" ht="15">
      <c r="A171" s="119" t="s">
        <v>165</v>
      </c>
      <c r="B171" s="119" t="s">
        <v>185</v>
      </c>
      <c r="C171" s="119" t="s">
        <v>183</v>
      </c>
      <c r="D171" s="120" t="s">
        <v>25</v>
      </c>
      <c r="E171" s="120" t="s">
        <v>4</v>
      </c>
      <c r="F171" s="146">
        <v>25.293333333333333</v>
      </c>
      <c r="G171" s="122">
        <v>1</v>
      </c>
      <c r="H171" s="123">
        <f t="shared" si="11"/>
        <v>25.293333333333333</v>
      </c>
      <c r="I171">
        <v>12</v>
      </c>
      <c r="J171" s="124">
        <f t="shared" si="25"/>
        <v>303.52</v>
      </c>
    </row>
    <row r="172" spans="1:10" ht="15">
      <c r="A172" s="119" t="s">
        <v>165</v>
      </c>
      <c r="B172" s="119" t="s">
        <v>186</v>
      </c>
      <c r="C172" s="119" t="s">
        <v>183</v>
      </c>
      <c r="D172" s="120" t="s">
        <v>25</v>
      </c>
      <c r="E172" s="120" t="s">
        <v>4</v>
      </c>
      <c r="F172" s="146">
        <v>85.8</v>
      </c>
      <c r="G172" s="122">
        <v>1</v>
      </c>
      <c r="H172" s="123">
        <f t="shared" si="11"/>
        <v>85.8</v>
      </c>
      <c r="I172">
        <v>36</v>
      </c>
      <c r="J172" s="124">
        <f t="shared" si="25"/>
        <v>3088.7999999999997</v>
      </c>
    </row>
    <row r="173" spans="1:10" ht="15">
      <c r="A173" s="119" t="s">
        <v>165</v>
      </c>
      <c r="B173" s="119" t="s">
        <v>186</v>
      </c>
      <c r="C173" s="119" t="s">
        <v>183</v>
      </c>
      <c r="D173" s="120" t="s">
        <v>25</v>
      </c>
      <c r="E173" s="120" t="s">
        <v>4</v>
      </c>
      <c r="F173" s="146">
        <v>85.8</v>
      </c>
      <c r="G173" s="122">
        <v>1</v>
      </c>
      <c r="H173" s="123">
        <f t="shared" si="11"/>
        <v>85.8</v>
      </c>
      <c r="I173">
        <v>24</v>
      </c>
      <c r="J173" s="124">
        <f t="shared" si="25"/>
        <v>2059.2</v>
      </c>
    </row>
    <row r="174" spans="1:10" ht="15">
      <c r="A174" s="119" t="s">
        <v>165</v>
      </c>
      <c r="B174" s="119" t="s">
        <v>186</v>
      </c>
      <c r="C174" s="119" t="s">
        <v>183</v>
      </c>
      <c r="D174" s="120" t="s">
        <v>25</v>
      </c>
      <c r="E174" s="120" t="s">
        <v>4</v>
      </c>
      <c r="F174" s="146">
        <v>85.8</v>
      </c>
      <c r="G174" s="122">
        <v>1</v>
      </c>
      <c r="H174" s="123">
        <f t="shared" si="11"/>
        <v>85.8</v>
      </c>
      <c r="I174">
        <v>12</v>
      </c>
      <c r="J174" s="124">
        <f t="shared" si="25"/>
        <v>1029.6</v>
      </c>
    </row>
    <row r="175" spans="1:10" ht="15">
      <c r="A175" s="119" t="s">
        <v>165</v>
      </c>
      <c r="B175" s="119" t="s">
        <v>187</v>
      </c>
      <c r="C175" s="119" t="s">
        <v>167</v>
      </c>
      <c r="D175" s="120" t="s">
        <v>25</v>
      </c>
      <c r="E175" s="120" t="s">
        <v>4</v>
      </c>
      <c r="F175" s="146">
        <v>2.677777777777778</v>
      </c>
      <c r="G175" s="122">
        <v>1</v>
      </c>
      <c r="H175" s="123">
        <f t="shared" si="11"/>
        <v>2.677777777777778</v>
      </c>
      <c r="I175">
        <v>1</v>
      </c>
      <c r="J175" s="124">
        <f>H175*I175</f>
        <v>2.677777777777778</v>
      </c>
    </row>
    <row r="176" spans="1:10" ht="15">
      <c r="A176" s="119" t="s">
        <v>165</v>
      </c>
      <c r="B176" s="119" t="s">
        <v>188</v>
      </c>
      <c r="C176" s="119" t="s">
        <v>167</v>
      </c>
      <c r="D176" s="120" t="s">
        <v>25</v>
      </c>
      <c r="E176" s="120" t="s">
        <v>4</v>
      </c>
      <c r="F176" s="146">
        <v>1.2999999999999998</v>
      </c>
      <c r="G176" s="122">
        <v>1</v>
      </c>
      <c r="H176" s="123">
        <f t="shared" si="11"/>
        <v>1.2999999999999998</v>
      </c>
      <c r="I176">
        <v>1</v>
      </c>
      <c r="J176" s="124">
        <f>H176*I176</f>
        <v>1.2999999999999998</v>
      </c>
    </row>
    <row r="177" spans="1:10" ht="15">
      <c r="A177" s="119" t="s">
        <v>165</v>
      </c>
      <c r="B177" s="119" t="s">
        <v>189</v>
      </c>
      <c r="C177" s="119" t="s">
        <v>178</v>
      </c>
      <c r="D177" s="120" t="s">
        <v>25</v>
      </c>
      <c r="E177" s="120" t="s">
        <v>4</v>
      </c>
      <c r="F177" s="146">
        <v>505.55555555555554</v>
      </c>
      <c r="G177" s="122">
        <v>1</v>
      </c>
      <c r="H177" s="123">
        <f t="shared" si="11"/>
        <v>505.55555555555554</v>
      </c>
      <c r="I177">
        <v>36</v>
      </c>
      <c r="J177" s="124">
        <f aca="true" t="shared" si="26" ref="J177:J178">H177*I177</f>
        <v>18200</v>
      </c>
    </row>
    <row r="178" spans="1:10" ht="15">
      <c r="A178" s="119" t="s">
        <v>165</v>
      </c>
      <c r="B178" s="119" t="s">
        <v>189</v>
      </c>
      <c r="C178" s="119" t="s">
        <v>178</v>
      </c>
      <c r="D178" s="120" t="s">
        <v>25</v>
      </c>
      <c r="E178" s="120" t="s">
        <v>4</v>
      </c>
      <c r="F178" s="146">
        <v>505.55555555555554</v>
      </c>
      <c r="G178" s="122">
        <v>1</v>
      </c>
      <c r="H178" s="123">
        <f t="shared" si="11"/>
        <v>505.55555555555554</v>
      </c>
      <c r="I178">
        <v>24</v>
      </c>
      <c r="J178" s="124">
        <f t="shared" si="26"/>
        <v>12133.333333333332</v>
      </c>
    </row>
    <row r="179" spans="1:10" ht="15">
      <c r="A179" s="119" t="s">
        <v>165</v>
      </c>
      <c r="B179" s="119" t="s">
        <v>189</v>
      </c>
      <c r="C179" s="119" t="s">
        <v>178</v>
      </c>
      <c r="D179" s="120" t="s">
        <v>25</v>
      </c>
      <c r="E179" s="120" t="s">
        <v>4</v>
      </c>
      <c r="F179" s="146">
        <v>505.55555555555554</v>
      </c>
      <c r="G179" s="122">
        <v>1</v>
      </c>
      <c r="H179" s="123">
        <f t="shared" si="11"/>
        <v>505.55555555555554</v>
      </c>
      <c r="I179">
        <v>12</v>
      </c>
      <c r="J179" s="124">
        <f>H179*I179</f>
        <v>6066.666666666666</v>
      </c>
    </row>
    <row r="180" spans="1:10" ht="15">
      <c r="A180" s="119"/>
      <c r="B180" s="119"/>
      <c r="C180" s="119"/>
      <c r="D180" s="120"/>
      <c r="E180" s="120"/>
      <c r="F180" s="146"/>
      <c r="G180" s="122"/>
      <c r="H180" s="123"/>
      <c r="J180" s="124"/>
    </row>
    <row r="181" spans="1:10" ht="15">
      <c r="A181" s="119"/>
      <c r="B181" s="119"/>
      <c r="C181" s="119"/>
      <c r="D181" s="120"/>
      <c r="E181" s="120"/>
      <c r="F181" s="146"/>
      <c r="G181" s="122"/>
      <c r="H181" s="123"/>
      <c r="J181" s="124"/>
    </row>
    <row r="182" spans="1:10" ht="24">
      <c r="A182" s="115" t="s">
        <v>190</v>
      </c>
      <c r="B182" s="115" t="s">
        <v>191</v>
      </c>
      <c r="C182" s="115" t="s">
        <v>15</v>
      </c>
      <c r="D182" s="152" t="s">
        <v>30</v>
      </c>
      <c r="E182" s="152" t="s">
        <v>31</v>
      </c>
      <c r="F182" s="117" t="s">
        <v>32</v>
      </c>
      <c r="G182" s="118" t="s">
        <v>18</v>
      </c>
      <c r="H182" s="153" t="s">
        <v>19</v>
      </c>
      <c r="I182" s="153" t="s">
        <v>33</v>
      </c>
      <c r="J182" s="153" t="s">
        <v>34</v>
      </c>
    </row>
    <row r="183" spans="1:10" ht="15">
      <c r="A183" s="119" t="s">
        <v>190</v>
      </c>
      <c r="B183" s="119" t="s">
        <v>192</v>
      </c>
      <c r="C183" s="119" t="s">
        <v>193</v>
      </c>
      <c r="D183" s="140" t="s">
        <v>194</v>
      </c>
      <c r="E183" s="140" t="s">
        <v>59</v>
      </c>
      <c r="F183" s="150">
        <v>2.25</v>
      </c>
      <c r="G183" s="151">
        <v>1</v>
      </c>
      <c r="H183" s="142">
        <f aca="true" t="shared" si="27" ref="H183:H187">F183*G183</f>
        <v>2.25</v>
      </c>
      <c r="I183" t="s">
        <v>195</v>
      </c>
      <c r="J183" s="143">
        <f>H183</f>
        <v>2.25</v>
      </c>
    </row>
    <row r="184" spans="1:10" ht="15">
      <c r="A184" s="119" t="s">
        <v>190</v>
      </c>
      <c r="B184" s="119" t="s">
        <v>196</v>
      </c>
      <c r="C184" s="119" t="s">
        <v>193</v>
      </c>
      <c r="D184" s="140" t="s">
        <v>194</v>
      </c>
      <c r="E184" s="140" t="s">
        <v>59</v>
      </c>
      <c r="F184" s="150">
        <v>3.5</v>
      </c>
      <c r="G184" s="151">
        <v>1</v>
      </c>
      <c r="H184" s="142">
        <f t="shared" si="27"/>
        <v>3.5</v>
      </c>
      <c r="I184" t="s">
        <v>195</v>
      </c>
      <c r="J184" s="143">
        <f aca="true" t="shared" si="28" ref="J184:J185">H184</f>
        <v>3.5</v>
      </c>
    </row>
    <row r="185" spans="1:10" ht="15">
      <c r="A185" s="119" t="s">
        <v>190</v>
      </c>
      <c r="B185" s="119" t="s">
        <v>197</v>
      </c>
      <c r="C185" s="119" t="s">
        <v>193</v>
      </c>
      <c r="D185" s="140" t="s">
        <v>194</v>
      </c>
      <c r="E185" s="140" t="s">
        <v>59</v>
      </c>
      <c r="F185" s="150">
        <v>4.5</v>
      </c>
      <c r="G185" s="151">
        <v>1</v>
      </c>
      <c r="H185" s="142">
        <f t="shared" si="27"/>
        <v>4.5</v>
      </c>
      <c r="I185" t="s">
        <v>195</v>
      </c>
      <c r="J185" s="143">
        <f t="shared" si="28"/>
        <v>4.5</v>
      </c>
    </row>
    <row r="186" spans="1:10" ht="15">
      <c r="A186" s="119" t="s">
        <v>190</v>
      </c>
      <c r="B186" s="119" t="s">
        <v>198</v>
      </c>
      <c r="C186" s="119" t="s">
        <v>199</v>
      </c>
      <c r="D186" s="140" t="s">
        <v>25</v>
      </c>
      <c r="E186" s="140" t="s">
        <v>59</v>
      </c>
      <c r="F186" s="150">
        <v>46</v>
      </c>
      <c r="G186" s="151">
        <v>1</v>
      </c>
      <c r="H186" s="142">
        <f t="shared" si="27"/>
        <v>46</v>
      </c>
      <c r="I186">
        <v>1</v>
      </c>
      <c r="J186" s="143">
        <f aca="true" t="shared" si="29" ref="J186:J187">H186*I186</f>
        <v>46</v>
      </c>
    </row>
    <row r="187" spans="1:10" ht="15">
      <c r="A187" s="119" t="s">
        <v>190</v>
      </c>
      <c r="B187" s="119" t="s">
        <v>200</v>
      </c>
      <c r="C187" s="119" t="s">
        <v>199</v>
      </c>
      <c r="D187" s="140" t="s">
        <v>25</v>
      </c>
      <c r="E187" s="140" t="s">
        <v>59</v>
      </c>
      <c r="F187" s="150">
        <v>25</v>
      </c>
      <c r="G187" s="151">
        <v>1</v>
      </c>
      <c r="H187" s="142">
        <f t="shared" si="27"/>
        <v>25</v>
      </c>
      <c r="I187">
        <v>1</v>
      </c>
      <c r="J187" s="143">
        <f t="shared" si="29"/>
        <v>25</v>
      </c>
    </row>
    <row r="188" spans="1:10" ht="15">
      <c r="A188" s="119" t="s">
        <v>190</v>
      </c>
      <c r="B188" s="119" t="s">
        <v>201</v>
      </c>
      <c r="C188" s="119" t="s">
        <v>202</v>
      </c>
      <c r="D188" s="140" t="s">
        <v>194</v>
      </c>
      <c r="E188" s="140" t="s">
        <v>59</v>
      </c>
      <c r="F188" s="150" t="s">
        <v>203</v>
      </c>
      <c r="G188" s="151"/>
      <c r="H188" s="142"/>
      <c r="J188" s="143"/>
    </row>
    <row r="189" spans="1:10" ht="15">
      <c r="A189" s="119"/>
      <c r="B189" s="119"/>
      <c r="C189" s="119"/>
      <c r="D189" s="120"/>
      <c r="E189" s="120"/>
      <c r="F189" s="146"/>
      <c r="G189" s="122"/>
      <c r="H189" s="123"/>
      <c r="J189" s="124"/>
    </row>
    <row r="190" spans="1:10" ht="15">
      <c r="A190" s="119"/>
      <c r="B190" s="119"/>
      <c r="C190" s="119"/>
      <c r="D190" s="120"/>
      <c r="E190" s="120"/>
      <c r="F190" s="146"/>
      <c r="G190" s="122"/>
      <c r="H190" s="123"/>
      <c r="J190" s="124"/>
    </row>
    <row r="191" spans="1:10" ht="24">
      <c r="A191" s="115" t="s">
        <v>204</v>
      </c>
      <c r="B191" s="115"/>
      <c r="C191" s="115" t="s">
        <v>15</v>
      </c>
      <c r="D191" s="152" t="s">
        <v>30</v>
      </c>
      <c r="E191" s="152" t="s">
        <v>31</v>
      </c>
      <c r="F191" s="117" t="s">
        <v>32</v>
      </c>
      <c r="G191" s="118" t="s">
        <v>18</v>
      </c>
      <c r="H191" s="153" t="s">
        <v>19</v>
      </c>
      <c r="I191" s="153" t="s">
        <v>33</v>
      </c>
      <c r="J191" s="153" t="s">
        <v>34</v>
      </c>
    </row>
    <row r="192" spans="1:10" ht="38.15" customHeight="1">
      <c r="A192" s="180" t="s">
        <v>205</v>
      </c>
      <c r="B192" s="180"/>
      <c r="C192" s="180"/>
      <c r="D192" s="180"/>
      <c r="E192" s="180"/>
      <c r="F192" s="149"/>
      <c r="G192" s="119"/>
      <c r="H192" s="119"/>
      <c r="I192" s="119"/>
      <c r="J192" s="119"/>
    </row>
    <row r="193" spans="1:10" ht="15">
      <c r="A193" s="119" t="s">
        <v>204</v>
      </c>
      <c r="B193" s="119" t="s">
        <v>206</v>
      </c>
      <c r="C193" s="119" t="s">
        <v>207</v>
      </c>
      <c r="D193" s="120" t="s">
        <v>58</v>
      </c>
      <c r="E193" s="119" t="s">
        <v>59</v>
      </c>
      <c r="F193" s="149">
        <v>1860.05</v>
      </c>
      <c r="G193" s="119">
        <v>1</v>
      </c>
      <c r="H193" s="142">
        <f aca="true" t="shared" si="30" ref="H193">F193*G193</f>
        <v>1860.05</v>
      </c>
      <c r="I193" t="s">
        <v>195</v>
      </c>
      <c r="J193" s="143">
        <f>H193</f>
        <v>1860.05</v>
      </c>
    </row>
    <row r="194" spans="1:10" ht="15">
      <c r="A194" s="119" t="s">
        <v>204</v>
      </c>
      <c r="B194" s="119" t="s">
        <v>208</v>
      </c>
      <c r="C194" s="119" t="s">
        <v>207</v>
      </c>
      <c r="D194" s="120" t="s">
        <v>58</v>
      </c>
      <c r="E194" s="119" t="s">
        <v>59</v>
      </c>
      <c r="F194" s="149">
        <v>1487.95</v>
      </c>
      <c r="G194" s="119">
        <v>1</v>
      </c>
      <c r="H194" s="142">
        <f aca="true" t="shared" si="31" ref="H194:H197">F194*G194</f>
        <v>1487.95</v>
      </c>
      <c r="I194" t="s">
        <v>195</v>
      </c>
      <c r="J194" s="143">
        <f aca="true" t="shared" si="32" ref="J194:J197">H194</f>
        <v>1487.95</v>
      </c>
    </row>
    <row r="195" spans="1:10" ht="15">
      <c r="A195" s="119" t="s">
        <v>204</v>
      </c>
      <c r="B195" s="119" t="s">
        <v>209</v>
      </c>
      <c r="C195" s="119" t="s">
        <v>210</v>
      </c>
      <c r="D195" s="120" t="s">
        <v>58</v>
      </c>
      <c r="E195" s="119" t="s">
        <v>59</v>
      </c>
      <c r="F195" s="149">
        <v>23.04</v>
      </c>
      <c r="G195" s="119">
        <v>1</v>
      </c>
      <c r="H195" s="142">
        <f t="shared" si="31"/>
        <v>23.04</v>
      </c>
      <c r="I195" t="s">
        <v>195</v>
      </c>
      <c r="J195" s="143">
        <f t="shared" si="32"/>
        <v>23.04</v>
      </c>
    </row>
    <row r="196" spans="1:10" ht="15">
      <c r="A196" s="119" t="s">
        <v>204</v>
      </c>
      <c r="B196" s="119" t="s">
        <v>211</v>
      </c>
      <c r="C196" s="119" t="s">
        <v>207</v>
      </c>
      <c r="D196" s="120" t="s">
        <v>58</v>
      </c>
      <c r="E196" s="119" t="s">
        <v>59</v>
      </c>
      <c r="F196" s="149">
        <v>1860.05</v>
      </c>
      <c r="G196" s="119">
        <v>1</v>
      </c>
      <c r="H196" s="142">
        <f t="shared" si="31"/>
        <v>1860.05</v>
      </c>
      <c r="I196" t="s">
        <v>195</v>
      </c>
      <c r="J196" s="143">
        <f t="shared" si="32"/>
        <v>1860.05</v>
      </c>
    </row>
    <row r="197" spans="1:10" ht="15">
      <c r="A197" s="119" t="s">
        <v>204</v>
      </c>
      <c r="B197" s="119" t="s">
        <v>212</v>
      </c>
      <c r="C197" s="119" t="s">
        <v>213</v>
      </c>
      <c r="D197" s="120" t="s">
        <v>58</v>
      </c>
      <c r="E197" s="119" t="s">
        <v>59</v>
      </c>
      <c r="F197" s="149">
        <v>2999.95</v>
      </c>
      <c r="G197" s="119">
        <v>1</v>
      </c>
      <c r="H197" s="142">
        <f t="shared" si="31"/>
        <v>2999.95</v>
      </c>
      <c r="I197" t="s">
        <v>195</v>
      </c>
      <c r="J197" s="143">
        <f t="shared" si="32"/>
        <v>2999.95</v>
      </c>
    </row>
    <row r="198" spans="1:10" ht="15">
      <c r="A198" s="119"/>
      <c r="B198" s="119"/>
      <c r="C198" s="119"/>
      <c r="D198" s="119"/>
      <c r="E198" s="119"/>
      <c r="F198" s="149"/>
      <c r="G198" s="119"/>
      <c r="H198" s="142"/>
      <c r="J198" s="143"/>
    </row>
    <row r="199" spans="1:10" ht="15">
      <c r="A199" s="119"/>
      <c r="B199" s="119"/>
      <c r="C199" s="119"/>
      <c r="D199" s="119"/>
      <c r="E199" s="119"/>
      <c r="F199" s="149"/>
      <c r="G199" s="119"/>
      <c r="H199" s="142"/>
      <c r="J199" s="143"/>
    </row>
    <row r="200" spans="1:10" ht="15">
      <c r="A200" s="119"/>
      <c r="B200" s="119"/>
      <c r="C200" s="119"/>
      <c r="D200" s="119"/>
      <c r="E200" s="119"/>
      <c r="F200" s="149"/>
      <c r="G200" s="119"/>
      <c r="H200" s="142"/>
      <c r="J200" s="143"/>
    </row>
    <row r="201" spans="1:10" ht="15">
      <c r="A201" s="119"/>
      <c r="B201" s="119"/>
      <c r="C201" s="119"/>
      <c r="D201" s="120"/>
      <c r="E201" s="120"/>
      <c r="F201" s="154"/>
      <c r="G201" s="122"/>
      <c r="H201" s="142"/>
      <c r="J201" s="143"/>
    </row>
    <row r="202" spans="6:10" ht="15">
      <c r="F202" s="5"/>
      <c r="H202" s="142"/>
      <c r="J202" s="143"/>
    </row>
    <row r="203" spans="1:10" ht="15">
      <c r="A203" s="125" t="s">
        <v>214</v>
      </c>
      <c r="F203" s="5"/>
      <c r="H203" s="142"/>
      <c r="J203" s="143"/>
    </row>
    <row r="204" spans="1:10" ht="15">
      <c r="A204" s="125" t="s">
        <v>215</v>
      </c>
      <c r="F204" s="5"/>
      <c r="H204" s="142"/>
      <c r="J204" s="143"/>
    </row>
    <row r="205" spans="1:10" ht="15">
      <c r="A205" s="125" t="s">
        <v>216</v>
      </c>
      <c r="H205" s="142"/>
      <c r="J205" s="143"/>
    </row>
    <row r="206" spans="1:10" ht="15">
      <c r="A206" s="126" t="s">
        <v>217</v>
      </c>
      <c r="H206" s="142"/>
      <c r="J206" s="143"/>
    </row>
    <row r="209" ht="15">
      <c r="A209" t="s">
        <v>218</v>
      </c>
    </row>
  </sheetData>
  <sheetProtection algorithmName="SHA-512" hashValue="xiihuk0+/16Pkqc90pGbStmfCdasEPVQQsrB9DSTeTh0Ge3h6lPHDkWceImB0vp7eCM0N5aOVKd0qBMX7S9OHA==" saltValue="gFugrHfG8PIXqgwVxcHUUA==" spinCount="100000" sheet="1" objects="1" scenarios="1"/>
  <mergeCells count="3">
    <mergeCell ref="A14:E14"/>
    <mergeCell ref="A89:E89"/>
    <mergeCell ref="A192:E192"/>
  </mergeCells>
  <dataValidations count="3">
    <dataValidation type="whole" operator="greaterThanOrEqual" allowBlank="1" showInputMessage="1" showErrorMessage="1" error="Please enter a valid number / Veuillez entrer un nombre valide" sqref="G4:G12 G183:G188 G15:G38">
      <formula1>0</formula1>
    </dataValidation>
    <dataValidation type="decimal" operator="greaterThanOrEqual" allowBlank="1" showInputMessage="1" showErrorMessage="1" error="Please enter a valid number / Veuillez entrer un nombre valide" sqref="G126 G13:G14 G39 G88 G3 G182 G191:G200">
      <formula1>0</formula1>
    </dataValidation>
    <dataValidation type="whole" operator="greaterThanOrEqual" allowBlank="1" showInputMessage="1" showErrorMessage="1" error="Please enter a valid number / Veuillez entrer un nombre valide" sqref="G49:G87 G124:G125 G127:G168">
      <formula1>395000</formula1>
    </dataValidation>
  </dataValidations>
  <hyperlinks>
    <hyperlink ref="A206" r:id="rId1" display="https://iti.ca/fr/infrastructureservice-stockage/"/>
  </hyperlinks>
  <printOptions/>
  <pageMargins left="0.7" right="0.7" top="0.75" bottom="0.75" header="0.3" footer="0.3"/>
  <pageSetup horizontalDpi="600" verticalDpi="60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6"/>
  <sheetViews>
    <sheetView zoomScale="85" zoomScaleNormal="85" workbookViewId="0" topLeftCell="A1"/>
  </sheetViews>
  <sheetFormatPr defaultColWidth="9.140625" defaultRowHeight="15"/>
  <cols>
    <col min="1" max="1" width="41.7109375" style="0" bestFit="1" customWidth="1"/>
    <col min="2" max="2" width="74.7109375" style="9" bestFit="1" customWidth="1"/>
    <col min="3" max="3" width="20.140625" style="0" bestFit="1" customWidth="1"/>
    <col min="4" max="4" width="20.7109375" style="13" bestFit="1" customWidth="1"/>
    <col min="5" max="5" width="18.421875" style="5" bestFit="1" customWidth="1"/>
    <col min="6" max="6" width="20.7109375" style="5" bestFit="1" customWidth="1"/>
    <col min="7" max="7" width="18.140625" style="5" bestFit="1" customWidth="1"/>
    <col min="8" max="8" width="4.421875" style="0" bestFit="1" customWidth="1"/>
    <col min="9" max="9" width="18.140625" style="0" bestFit="1" customWidth="1"/>
  </cols>
  <sheetData>
    <row r="1" spans="1:9" s="16" customFormat="1" ht="29">
      <c r="A1" s="16" t="s">
        <v>219</v>
      </c>
      <c r="B1" s="16" t="s">
        <v>14</v>
      </c>
      <c r="C1" s="16" t="s">
        <v>220</v>
      </c>
      <c r="D1" s="17" t="s">
        <v>221</v>
      </c>
      <c r="E1" s="18" t="str">
        <f>IF('1. Info'!$C$10="Montreal (CAN)","Estimated Monthly Unit Cost USD","Monthly Unit Cost USD")</f>
        <v>Estimated Monthly Unit Cost USD</v>
      </c>
      <c r="F1" s="18" t="s">
        <v>222</v>
      </c>
      <c r="G1" s="18" t="s">
        <v>223</v>
      </c>
      <c r="H1" s="16" t="s">
        <v>224</v>
      </c>
      <c r="I1" s="16" t="str">
        <f>IF('1. Info'!$C$10="Montreal (CAN)","Estimated Monthly Total Cost","Monthly Total Cost")</f>
        <v>Estimated Monthly Total Cost</v>
      </c>
    </row>
    <row r="2" spans="1:7" s="6" customFormat="1" ht="15">
      <c r="A2" s="6" t="s">
        <v>225</v>
      </c>
      <c r="B2" s="8"/>
      <c r="D2" s="11"/>
      <c r="E2" s="7"/>
      <c r="F2" s="7"/>
      <c r="G2" s="7"/>
    </row>
    <row r="3" spans="1:9" ht="15">
      <c r="A3" t="s">
        <v>226</v>
      </c>
      <c r="B3" s="9" t="s">
        <v>227</v>
      </c>
      <c r="C3" t="s">
        <v>228</v>
      </c>
      <c r="D3" s="12" t="s">
        <v>229</v>
      </c>
      <c r="E3" s="12" t="s">
        <v>229</v>
      </c>
      <c r="F3" s="12" t="s">
        <v>229</v>
      </c>
      <c r="G3" s="12" t="s">
        <v>229</v>
      </c>
      <c r="H3" s="4" t="s">
        <v>7</v>
      </c>
      <c r="I3" s="12" t="s">
        <v>229</v>
      </c>
    </row>
    <row r="4" spans="1:7" ht="15">
      <c r="A4" t="s">
        <v>230</v>
      </c>
      <c r="B4" s="9" t="s">
        <v>231</v>
      </c>
      <c r="C4" t="s">
        <v>232</v>
      </c>
      <c r="D4" s="12">
        <v>0.0336</v>
      </c>
      <c r="E4" s="3">
        <f>D4*730</f>
        <v>24.528</v>
      </c>
      <c r="F4" s="12">
        <v>0.037</v>
      </c>
      <c r="G4" s="3">
        <f>F4*730</f>
        <v>27.009999999999998</v>
      </c>
    </row>
    <row r="5" spans="1:7" ht="15">
      <c r="A5" t="s">
        <v>233</v>
      </c>
      <c r="B5" s="9" t="s">
        <v>234</v>
      </c>
      <c r="C5" t="s">
        <v>235</v>
      </c>
      <c r="D5" s="12">
        <v>0.0154</v>
      </c>
      <c r="E5" s="3">
        <f>D5*730</f>
        <v>11.242</v>
      </c>
      <c r="F5" s="12">
        <v>0.017</v>
      </c>
      <c r="G5" s="3">
        <f>F5*730</f>
        <v>12.41</v>
      </c>
    </row>
    <row r="6" spans="1:7" ht="15">
      <c r="A6" t="s">
        <v>236</v>
      </c>
      <c r="B6" s="9" t="s">
        <v>237</v>
      </c>
      <c r="C6" t="s">
        <v>235</v>
      </c>
      <c r="D6" s="12">
        <f>IF('1. Info'!$C$18="STORAGE2019",0.0002,0.0005)</f>
        <v>0.0005</v>
      </c>
      <c r="E6" s="3">
        <f>D6*730</f>
        <v>0.365</v>
      </c>
      <c r="F6" s="12">
        <f>IF('1. Info'!$C$18="STORAGE2019",0.0003,0.0006)</f>
        <v>0.0006</v>
      </c>
      <c r="G6" s="3">
        <f>F6*730</f>
        <v>0.43799999999999994</v>
      </c>
    </row>
    <row r="7" spans="1:7" ht="15">
      <c r="A7" t="s">
        <v>238</v>
      </c>
      <c r="B7" t="s">
        <v>237</v>
      </c>
      <c r="C7" t="s">
        <v>235</v>
      </c>
      <c r="D7" s="19">
        <f>IF('1. Info'!$C$18="STORAGE2019",0.00002688,0.000123)</f>
        <v>0.000123</v>
      </c>
      <c r="E7" s="3">
        <f>D7*730</f>
        <v>0.08979000000000001</v>
      </c>
      <c r="F7" s="19">
        <f>IF('1. Info'!$C$18="STORAGE2019",0.0000403,0.000136)</f>
        <v>0.000136</v>
      </c>
      <c r="G7" s="3">
        <f>F7*730</f>
        <v>0.09928</v>
      </c>
    </row>
    <row r="8" spans="1:7" ht="15">
      <c r="A8" t="s">
        <v>239</v>
      </c>
      <c r="B8" t="s">
        <v>240</v>
      </c>
      <c r="C8" t="s">
        <v>241</v>
      </c>
      <c r="D8" s="12">
        <v>0.0269</v>
      </c>
      <c r="E8" s="3">
        <f>D8*730</f>
        <v>19.637</v>
      </c>
      <c r="F8" s="12">
        <v>0.0296</v>
      </c>
      <c r="G8" s="3">
        <f>F8*730</f>
        <v>21.608</v>
      </c>
    </row>
    <row r="9" spans="1:7" ht="15">
      <c r="A9" t="s">
        <v>242</v>
      </c>
      <c r="B9" s="9" t="s">
        <v>243</v>
      </c>
      <c r="C9" t="s">
        <v>244</v>
      </c>
      <c r="D9" s="12" t="s">
        <v>245</v>
      </c>
      <c r="E9" s="3">
        <v>20</v>
      </c>
      <c r="F9" s="12" t="s">
        <v>245</v>
      </c>
      <c r="G9" s="3">
        <v>20</v>
      </c>
    </row>
    <row r="10" spans="1:7" s="6" customFormat="1" ht="15">
      <c r="A10" s="6" t="s">
        <v>246</v>
      </c>
      <c r="B10" s="8"/>
      <c r="D10" s="11"/>
      <c r="E10" s="7"/>
      <c r="F10" s="7"/>
      <c r="G10" s="7"/>
    </row>
    <row r="11" spans="1:7" ht="15">
      <c r="A11" t="s">
        <v>247</v>
      </c>
      <c r="B11" s="9" t="s">
        <v>248</v>
      </c>
      <c r="C11" t="s">
        <v>235</v>
      </c>
      <c r="D11" s="12" t="s">
        <v>245</v>
      </c>
      <c r="E11" s="3">
        <v>0.1</v>
      </c>
      <c r="F11" s="12" t="s">
        <v>245</v>
      </c>
      <c r="G11" s="3">
        <v>0.11</v>
      </c>
    </row>
    <row r="12" spans="1:7" ht="15">
      <c r="A12" t="s">
        <v>249</v>
      </c>
      <c r="B12" t="s">
        <v>250</v>
      </c>
      <c r="C12" t="s">
        <v>251</v>
      </c>
      <c r="D12" s="12">
        <v>0.0274</v>
      </c>
      <c r="E12" s="3">
        <f>D12*730</f>
        <v>20.002</v>
      </c>
      <c r="F12" s="12">
        <v>0.0301</v>
      </c>
      <c r="G12" s="3">
        <f>F12*730</f>
        <v>21.973</v>
      </c>
    </row>
    <row r="13" spans="1:7" ht="15">
      <c r="A13" t="s">
        <v>252</v>
      </c>
      <c r="B13" s="9" t="s">
        <v>253</v>
      </c>
      <c r="C13" t="s">
        <v>57</v>
      </c>
      <c r="D13" s="12" t="s">
        <v>245</v>
      </c>
      <c r="E13" s="5">
        <v>5</v>
      </c>
      <c r="F13" s="12" t="s">
        <v>245</v>
      </c>
      <c r="G13" s="5">
        <v>5</v>
      </c>
    </row>
    <row r="14" spans="1:7" ht="15">
      <c r="A14" t="s">
        <v>254</v>
      </c>
      <c r="B14" t="s">
        <v>255</v>
      </c>
      <c r="C14" t="s">
        <v>256</v>
      </c>
      <c r="D14" s="12">
        <v>0.0069</v>
      </c>
      <c r="E14" s="3">
        <f>D14*730</f>
        <v>5.037</v>
      </c>
      <c r="F14" s="12">
        <v>0.0076</v>
      </c>
      <c r="G14" s="3">
        <f>F14*730</f>
        <v>5.548</v>
      </c>
    </row>
    <row r="15" spans="1:7" s="6" customFormat="1" ht="15">
      <c r="A15" s="6" t="s">
        <v>257</v>
      </c>
      <c r="B15" s="8"/>
      <c r="D15" s="11"/>
      <c r="E15" s="7"/>
      <c r="F15" s="7"/>
      <c r="G15" s="7"/>
    </row>
    <row r="16" spans="1:7" ht="15">
      <c r="A16" t="s">
        <v>258</v>
      </c>
      <c r="B16" t="s">
        <v>259</v>
      </c>
      <c r="C16" t="s">
        <v>241</v>
      </c>
      <c r="D16" s="2" t="s">
        <v>245</v>
      </c>
      <c r="E16" s="3">
        <v>20</v>
      </c>
      <c r="F16" s="2" t="s">
        <v>245</v>
      </c>
      <c r="G16" s="3">
        <v>22</v>
      </c>
    </row>
    <row r="17" spans="1:7" ht="15">
      <c r="A17" t="s">
        <v>260</v>
      </c>
      <c r="B17" t="s">
        <v>261</v>
      </c>
      <c r="C17" t="s">
        <v>235</v>
      </c>
      <c r="D17" s="2" t="s">
        <v>245</v>
      </c>
      <c r="E17" s="3">
        <f>$E$6</f>
        <v>0.365</v>
      </c>
      <c r="F17" s="2" t="s">
        <v>245</v>
      </c>
      <c r="G17" s="3">
        <f>$G$6</f>
        <v>0.43799999999999994</v>
      </c>
    </row>
    <row r="18" spans="1:7" ht="15">
      <c r="A18" t="s">
        <v>262</v>
      </c>
      <c r="B18" t="s">
        <v>261</v>
      </c>
      <c r="C18" t="s">
        <v>235</v>
      </c>
      <c r="D18" s="2" t="s">
        <v>245</v>
      </c>
      <c r="E18" s="3">
        <f>$E$7</f>
        <v>0.08979000000000001</v>
      </c>
      <c r="F18" s="2" t="s">
        <v>245</v>
      </c>
      <c r="G18" s="3">
        <f>$G$7</f>
        <v>0.09928</v>
      </c>
    </row>
    <row r="19" spans="1:7" s="6" customFormat="1" ht="15">
      <c r="A19" s="6" t="s">
        <v>263</v>
      </c>
      <c r="B19" s="8"/>
      <c r="D19" s="11"/>
      <c r="E19" s="7"/>
      <c r="F19" s="7"/>
      <c r="G19" s="7"/>
    </row>
    <row r="20" spans="1:9" ht="43.5">
      <c r="A20" t="s">
        <v>264</v>
      </c>
      <c r="B20" s="9" t="s">
        <v>265</v>
      </c>
      <c r="C20" t="s">
        <v>241</v>
      </c>
      <c r="D20" s="12" t="s">
        <v>229</v>
      </c>
      <c r="E20" s="12" t="s">
        <v>229</v>
      </c>
      <c r="F20" s="12" t="s">
        <v>229</v>
      </c>
      <c r="G20" s="12" t="s">
        <v>229</v>
      </c>
      <c r="H20" s="4" t="s">
        <v>7</v>
      </c>
      <c r="I20" s="12" t="s">
        <v>229</v>
      </c>
    </row>
    <row r="21" spans="1:7" s="6" customFormat="1" ht="15">
      <c r="A21" s="6" t="s">
        <v>266</v>
      </c>
      <c r="B21" s="8"/>
      <c r="D21" s="11"/>
      <c r="E21" s="7"/>
      <c r="F21" s="7"/>
      <c r="G21" s="7"/>
    </row>
    <row r="22" spans="1:7" ht="15">
      <c r="A22" t="s">
        <v>267</v>
      </c>
      <c r="B22" t="s">
        <v>268</v>
      </c>
      <c r="C22" t="s">
        <v>57</v>
      </c>
      <c r="D22" s="12" t="s">
        <v>245</v>
      </c>
      <c r="E22" s="3">
        <v>10.55</v>
      </c>
      <c r="F22" s="12" t="s">
        <v>245</v>
      </c>
      <c r="G22" s="3">
        <v>13.15</v>
      </c>
    </row>
    <row r="23" spans="1:7" s="6" customFormat="1" ht="15">
      <c r="A23" s="6" t="s">
        <v>269</v>
      </c>
      <c r="B23" s="8"/>
      <c r="D23" s="11"/>
      <c r="E23" s="7"/>
      <c r="F23" s="7"/>
      <c r="G23" s="7"/>
    </row>
    <row r="24" spans="1:7" ht="15">
      <c r="A24" t="s">
        <v>270</v>
      </c>
      <c r="B24" t="s">
        <v>271</v>
      </c>
      <c r="C24" t="s">
        <v>272</v>
      </c>
      <c r="D24" s="12" t="s">
        <v>245</v>
      </c>
      <c r="E24" s="3">
        <v>0</v>
      </c>
      <c r="F24" s="12" t="s">
        <v>245</v>
      </c>
      <c r="G24" s="3">
        <v>0</v>
      </c>
    </row>
    <row r="25" spans="1:7" ht="15">
      <c r="A25" t="s">
        <v>273</v>
      </c>
      <c r="B25" t="s">
        <v>274</v>
      </c>
      <c r="C25" t="s">
        <v>275</v>
      </c>
      <c r="D25" s="12" t="s">
        <v>245</v>
      </c>
      <c r="E25" s="3">
        <v>15</v>
      </c>
      <c r="F25" s="12" t="s">
        <v>245</v>
      </c>
      <c r="G25" s="3">
        <v>18.5</v>
      </c>
    </row>
    <row r="26" spans="1:7" ht="15">
      <c r="A26" t="s">
        <v>276</v>
      </c>
      <c r="B26" t="s">
        <v>274</v>
      </c>
      <c r="C26" t="s">
        <v>275</v>
      </c>
      <c r="D26" s="12" t="s">
        <v>245</v>
      </c>
      <c r="E26" s="3">
        <v>204</v>
      </c>
      <c r="F26" s="12" t="s">
        <v>245</v>
      </c>
      <c r="G26" s="3">
        <v>250</v>
      </c>
    </row>
    <row r="27" spans="1:7" ht="15">
      <c r="A27" t="s">
        <v>277</v>
      </c>
      <c r="B27" t="s">
        <v>274</v>
      </c>
      <c r="C27" t="s">
        <v>275</v>
      </c>
      <c r="D27" s="12" t="s">
        <v>245</v>
      </c>
      <c r="E27" s="3">
        <v>787</v>
      </c>
      <c r="F27" s="12" t="s">
        <v>245</v>
      </c>
      <c r="G27" s="3">
        <v>950</v>
      </c>
    </row>
    <row r="28" spans="1:7" s="6" customFormat="1" ht="15">
      <c r="A28" s="6" t="s">
        <v>278</v>
      </c>
      <c r="B28" s="8"/>
      <c r="D28" s="11"/>
      <c r="E28" s="7"/>
      <c r="F28" s="7"/>
      <c r="G28" s="7"/>
    </row>
    <row r="29" spans="1:7" ht="15">
      <c r="A29" t="s">
        <v>279</v>
      </c>
      <c r="B29" t="s">
        <v>280</v>
      </c>
      <c r="C29" t="s">
        <v>241</v>
      </c>
      <c r="D29" s="12" t="s">
        <v>245</v>
      </c>
      <c r="E29" s="3">
        <v>22</v>
      </c>
      <c r="F29" s="12" t="s">
        <v>245</v>
      </c>
      <c r="G29" s="3">
        <v>30</v>
      </c>
    </row>
    <row r="30" spans="1:7" ht="15">
      <c r="A30" t="s">
        <v>281</v>
      </c>
      <c r="B30" t="s">
        <v>282</v>
      </c>
      <c r="C30" t="s">
        <v>241</v>
      </c>
      <c r="D30" s="12" t="s">
        <v>245</v>
      </c>
      <c r="E30" s="3">
        <v>85</v>
      </c>
      <c r="F30" s="12" t="s">
        <v>245</v>
      </c>
      <c r="G30" s="3">
        <v>115</v>
      </c>
    </row>
    <row r="31" spans="1:7" ht="15">
      <c r="A31" t="s">
        <v>283</v>
      </c>
      <c r="B31" t="s">
        <v>284</v>
      </c>
      <c r="C31" t="s">
        <v>241</v>
      </c>
      <c r="D31" s="12" t="s">
        <v>245</v>
      </c>
      <c r="E31" s="3">
        <v>185</v>
      </c>
      <c r="F31" s="12" t="s">
        <v>245</v>
      </c>
      <c r="G31" s="3">
        <v>250</v>
      </c>
    </row>
    <row r="32" spans="1:7" ht="15">
      <c r="A32" t="s">
        <v>285</v>
      </c>
      <c r="B32" t="s">
        <v>286</v>
      </c>
      <c r="C32" t="s">
        <v>241</v>
      </c>
      <c r="D32" s="12" t="s">
        <v>245</v>
      </c>
      <c r="E32" s="3">
        <v>110</v>
      </c>
      <c r="F32" s="12" t="s">
        <v>245</v>
      </c>
      <c r="G32" s="3">
        <v>148</v>
      </c>
    </row>
    <row r="33" spans="1:7" ht="15">
      <c r="A33" t="s">
        <v>287</v>
      </c>
      <c r="B33" t="s">
        <v>288</v>
      </c>
      <c r="C33" t="s">
        <v>241</v>
      </c>
      <c r="D33" s="12" t="s">
        <v>245</v>
      </c>
      <c r="E33" s="3">
        <v>185</v>
      </c>
      <c r="F33" s="12" t="s">
        <v>245</v>
      </c>
      <c r="G33" s="3">
        <v>250</v>
      </c>
    </row>
    <row r="34" spans="1:7" s="6" customFormat="1" ht="15">
      <c r="A34" s="6" t="s">
        <v>289</v>
      </c>
      <c r="B34" s="8"/>
      <c r="D34" s="11"/>
      <c r="E34" s="7"/>
      <c r="F34" s="7"/>
      <c r="G34" s="7"/>
    </row>
    <row r="35" spans="1:7" ht="15">
      <c r="A35" t="s">
        <v>290</v>
      </c>
      <c r="B35"/>
      <c r="C35" t="s">
        <v>291</v>
      </c>
      <c r="D35" s="12" t="s">
        <v>292</v>
      </c>
      <c r="E35" s="3">
        <v>150</v>
      </c>
      <c r="F35" s="12" t="s">
        <v>292</v>
      </c>
      <c r="G35" s="3">
        <v>150</v>
      </c>
    </row>
    <row r="36" spans="1:7" ht="15">
      <c r="A36" t="s">
        <v>293</v>
      </c>
      <c r="C36" t="s">
        <v>291</v>
      </c>
      <c r="D36" s="12" t="s">
        <v>292</v>
      </c>
      <c r="E36" s="3">
        <v>150</v>
      </c>
      <c r="F36" s="12" t="s">
        <v>292</v>
      </c>
      <c r="G36" s="3">
        <v>150</v>
      </c>
    </row>
  </sheetData>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6"/>
  <sheetViews>
    <sheetView zoomScale="85" zoomScaleNormal="85" workbookViewId="0" topLeftCell="A1"/>
  </sheetViews>
  <sheetFormatPr defaultColWidth="9.140625" defaultRowHeight="15"/>
  <cols>
    <col min="1" max="1" width="54.7109375" style="0" bestFit="1" customWidth="1"/>
    <col min="2" max="2" width="65.00390625" style="9" customWidth="1"/>
    <col min="3" max="3" width="22.7109375" style="0" bestFit="1" customWidth="1"/>
    <col min="4" max="4" width="21.7109375" style="13" bestFit="1" customWidth="1"/>
    <col min="5" max="5" width="18.421875" style="5" bestFit="1" customWidth="1"/>
    <col min="6" max="6" width="21.7109375" style="5" bestFit="1" customWidth="1"/>
    <col min="7" max="7" width="18.140625" style="5" bestFit="1" customWidth="1"/>
    <col min="8" max="8" width="4.421875" style="0" bestFit="1" customWidth="1"/>
    <col min="9" max="9" width="17.7109375" style="0" bestFit="1" customWidth="1"/>
  </cols>
  <sheetData>
    <row r="1" spans="1:9" s="16" customFormat="1" ht="29">
      <c r="A1" s="16" t="s">
        <v>13</v>
      </c>
      <c r="B1" s="16" t="s">
        <v>14</v>
      </c>
      <c r="C1" s="16" t="s">
        <v>15</v>
      </c>
      <c r="D1" s="17" t="s">
        <v>294</v>
      </c>
      <c r="E1" s="18" t="str">
        <f>IF('1. Info'!$C$10="Montréal (CAN)","Estimation du coût mensuel USD","Coût mensuel USD")</f>
        <v>Coût mensuel USD</v>
      </c>
      <c r="F1" s="18" t="s">
        <v>295</v>
      </c>
      <c r="G1" s="18" t="str">
        <f>IF('1. Info'!$C$10="Montréal (CAN)","Estimation du coût mensuel CAD","Coût mensuel CAD")</f>
        <v>Coût mensuel CAD</v>
      </c>
      <c r="H1" s="16" t="s">
        <v>18</v>
      </c>
      <c r="I1" s="16" t="str">
        <f>IF('1. Info'!$C$10="Montréal (CAN)","Estimation du coût mensuel total","Coût mensuel total")</f>
        <v>Coût mensuel total</v>
      </c>
    </row>
    <row r="2" spans="1:7" s="6" customFormat="1" ht="15">
      <c r="A2" s="6" t="s">
        <v>296</v>
      </c>
      <c r="B2" s="8"/>
      <c r="D2" s="11"/>
      <c r="E2" s="7"/>
      <c r="F2" s="7"/>
      <c r="G2" s="7"/>
    </row>
    <row r="3" spans="1:9" ht="15">
      <c r="A3" t="s">
        <v>297</v>
      </c>
      <c r="B3" t="s">
        <v>298</v>
      </c>
      <c r="C3" t="s">
        <v>299</v>
      </c>
      <c r="D3" s="2" t="s">
        <v>300</v>
      </c>
      <c r="E3" s="2" t="s">
        <v>300</v>
      </c>
      <c r="F3" s="2" t="s">
        <v>300</v>
      </c>
      <c r="G3" s="2" t="s">
        <v>300</v>
      </c>
      <c r="H3" s="4" t="s">
        <v>7</v>
      </c>
      <c r="I3" s="2" t="s">
        <v>300</v>
      </c>
    </row>
    <row r="4" spans="1:7" ht="15">
      <c r="A4" t="s">
        <v>301</v>
      </c>
      <c r="B4" t="s">
        <v>302</v>
      </c>
      <c r="C4" t="s">
        <v>303</v>
      </c>
      <c r="D4" s="12">
        <v>0.0336</v>
      </c>
      <c r="E4" s="3">
        <f>D4*730</f>
        <v>24.528</v>
      </c>
      <c r="F4" s="12">
        <v>0.037</v>
      </c>
      <c r="G4" s="3">
        <f>F4*730</f>
        <v>27.009999999999998</v>
      </c>
    </row>
    <row r="5" spans="1:7" ht="15">
      <c r="A5" t="s">
        <v>304</v>
      </c>
      <c r="B5" t="s">
        <v>305</v>
      </c>
      <c r="C5" t="s">
        <v>28</v>
      </c>
      <c r="D5" s="12">
        <v>0.0154</v>
      </c>
      <c r="E5" s="3">
        <f>D5*730</f>
        <v>11.242</v>
      </c>
      <c r="F5" s="12">
        <v>0.017</v>
      </c>
      <c r="G5" s="3">
        <f>F5*730</f>
        <v>12.41</v>
      </c>
    </row>
    <row r="6" spans="1:7" ht="15">
      <c r="A6" t="s">
        <v>306</v>
      </c>
      <c r="B6" t="s">
        <v>307</v>
      </c>
      <c r="C6" t="s">
        <v>28</v>
      </c>
      <c r="D6" s="12">
        <f>IF('1. Info'!$C$18="STORAGE2019",0.0002,0.0005)</f>
        <v>0.0005</v>
      </c>
      <c r="E6" s="3">
        <f>D6*730</f>
        <v>0.365</v>
      </c>
      <c r="F6" s="12">
        <f>IF('1. Info'!$C$18="STORAGE2019",0.0003,0.0006)</f>
        <v>0.0006</v>
      </c>
      <c r="G6" s="3">
        <f>F6*730</f>
        <v>0.43799999999999994</v>
      </c>
    </row>
    <row r="7" spans="1:7" ht="15">
      <c r="A7" t="s">
        <v>308</v>
      </c>
      <c r="B7" t="s">
        <v>307</v>
      </c>
      <c r="C7" t="s">
        <v>28</v>
      </c>
      <c r="D7" s="19">
        <f>IF('1. Info'!$C$18="STORAGE2019",0.00002688,0.000123)</f>
        <v>0.000123</v>
      </c>
      <c r="E7" s="3">
        <f>D7*730</f>
        <v>0.08979000000000001</v>
      </c>
      <c r="F7" s="19">
        <f>IF('1. Info'!$C$18="STORAGE2019",0.0000403,0.000136)</f>
        <v>0.000136</v>
      </c>
      <c r="G7" s="3">
        <f>F7*730</f>
        <v>0.09928</v>
      </c>
    </row>
    <row r="8" spans="1:7" ht="15">
      <c r="A8" t="s">
        <v>309</v>
      </c>
      <c r="B8" t="s">
        <v>310</v>
      </c>
      <c r="C8" t="s">
        <v>311</v>
      </c>
      <c r="D8" s="12">
        <v>0.0269</v>
      </c>
      <c r="E8" s="3">
        <f>D8*730</f>
        <v>19.637</v>
      </c>
      <c r="F8" s="12">
        <v>0.0296</v>
      </c>
      <c r="G8" s="3">
        <f>F8*730</f>
        <v>21.608</v>
      </c>
    </row>
    <row r="9" spans="1:7" ht="15">
      <c r="A9" t="s">
        <v>312</v>
      </c>
      <c r="B9" t="s">
        <v>313</v>
      </c>
      <c r="C9" t="s">
        <v>314</v>
      </c>
      <c r="D9" s="12" t="s">
        <v>25</v>
      </c>
      <c r="E9" s="3">
        <v>20</v>
      </c>
      <c r="F9" s="12" t="s">
        <v>25</v>
      </c>
      <c r="G9" s="3">
        <v>20</v>
      </c>
    </row>
    <row r="10" spans="1:7" s="6" customFormat="1" ht="15">
      <c r="A10" s="6" t="s">
        <v>315</v>
      </c>
      <c r="B10" s="8"/>
      <c r="D10" s="11"/>
      <c r="E10" s="7"/>
      <c r="F10" s="7"/>
      <c r="G10" s="7"/>
    </row>
    <row r="11" spans="1:7" ht="15">
      <c r="A11" t="s">
        <v>316</v>
      </c>
      <c r="B11" t="s">
        <v>317</v>
      </c>
      <c r="C11" t="s">
        <v>28</v>
      </c>
      <c r="D11" s="2" t="s">
        <v>25</v>
      </c>
      <c r="E11" s="3">
        <v>0.1</v>
      </c>
      <c r="F11" s="2" t="s">
        <v>25</v>
      </c>
      <c r="G11" s="3">
        <v>0.11</v>
      </c>
    </row>
    <row r="12" spans="1:7" ht="15">
      <c r="A12" t="s">
        <v>318</v>
      </c>
      <c r="B12" t="s">
        <v>319</v>
      </c>
      <c r="C12" t="s">
        <v>251</v>
      </c>
      <c r="D12" s="12">
        <v>0.0274</v>
      </c>
      <c r="E12" s="3">
        <f>D12*730</f>
        <v>20.002</v>
      </c>
      <c r="F12" s="12">
        <v>0.0301</v>
      </c>
      <c r="G12" s="3">
        <f>F12*730</f>
        <v>21.973</v>
      </c>
    </row>
    <row r="13" spans="1:7" ht="15">
      <c r="A13" t="s">
        <v>320</v>
      </c>
      <c r="B13" t="s">
        <v>321</v>
      </c>
      <c r="C13" t="s">
        <v>322</v>
      </c>
      <c r="D13" s="2" t="s">
        <v>25</v>
      </c>
      <c r="E13" s="3">
        <v>5</v>
      </c>
      <c r="F13" s="2" t="s">
        <v>25</v>
      </c>
      <c r="G13" s="3">
        <v>5</v>
      </c>
    </row>
    <row r="14" spans="1:7" ht="16.5">
      <c r="A14" t="s">
        <v>323</v>
      </c>
      <c r="B14" t="s">
        <v>324</v>
      </c>
      <c r="C14" t="s">
        <v>325</v>
      </c>
      <c r="D14" s="12">
        <v>0.0069</v>
      </c>
      <c r="E14" s="3">
        <f>D14*730</f>
        <v>5.037</v>
      </c>
      <c r="F14" s="12">
        <v>0.0076</v>
      </c>
      <c r="G14" s="3">
        <f>F14*730</f>
        <v>5.548</v>
      </c>
    </row>
    <row r="15" spans="1:7" s="6" customFormat="1" ht="15">
      <c r="A15" s="6" t="s">
        <v>326</v>
      </c>
      <c r="B15" s="8"/>
      <c r="D15" s="11"/>
      <c r="E15" s="7"/>
      <c r="F15" s="7"/>
      <c r="G15" s="7"/>
    </row>
    <row r="16" spans="1:7" ht="15">
      <c r="A16" t="s">
        <v>327</v>
      </c>
      <c r="B16" t="s">
        <v>180</v>
      </c>
      <c r="C16" t="s">
        <v>311</v>
      </c>
      <c r="D16" s="2" t="s">
        <v>25</v>
      </c>
      <c r="E16" s="3">
        <v>20</v>
      </c>
      <c r="F16" s="2" t="s">
        <v>25</v>
      </c>
      <c r="G16" s="3">
        <v>22</v>
      </c>
    </row>
    <row r="17" spans="1:7" ht="15">
      <c r="A17" t="s">
        <v>328</v>
      </c>
      <c r="B17" t="s">
        <v>329</v>
      </c>
      <c r="C17" t="s">
        <v>28</v>
      </c>
      <c r="D17" s="2" t="s">
        <v>25</v>
      </c>
      <c r="E17" s="3">
        <f>$E$6</f>
        <v>0.365</v>
      </c>
      <c r="F17" s="2" t="s">
        <v>25</v>
      </c>
      <c r="G17" s="3">
        <f>$G$6</f>
        <v>0.43799999999999994</v>
      </c>
    </row>
    <row r="18" spans="1:7" ht="15">
      <c r="A18" t="s">
        <v>330</v>
      </c>
      <c r="B18" t="s">
        <v>329</v>
      </c>
      <c r="C18" t="s">
        <v>28</v>
      </c>
      <c r="D18" s="2" t="s">
        <v>25</v>
      </c>
      <c r="E18" s="3">
        <f>$E$7</f>
        <v>0.08979000000000001</v>
      </c>
      <c r="F18" s="2" t="s">
        <v>25</v>
      </c>
      <c r="G18" s="3">
        <f>$G$7</f>
        <v>0.09928</v>
      </c>
    </row>
    <row r="19" spans="1:7" s="6" customFormat="1" ht="15">
      <c r="A19" s="6" t="s">
        <v>331</v>
      </c>
      <c r="B19" s="8"/>
      <c r="D19" s="11"/>
      <c r="E19" s="7"/>
      <c r="F19" s="7"/>
      <c r="G19" s="7"/>
    </row>
    <row r="20" spans="1:9" ht="43.5">
      <c r="A20" t="s">
        <v>332</v>
      </c>
      <c r="B20" s="9" t="s">
        <v>265</v>
      </c>
      <c r="C20" t="s">
        <v>311</v>
      </c>
      <c r="D20" s="2" t="s">
        <v>300</v>
      </c>
      <c r="E20" s="2" t="s">
        <v>300</v>
      </c>
      <c r="F20" s="2" t="s">
        <v>300</v>
      </c>
      <c r="G20" s="2" t="s">
        <v>300</v>
      </c>
      <c r="H20" s="4" t="s">
        <v>7</v>
      </c>
      <c r="I20" s="2" t="s">
        <v>300</v>
      </c>
    </row>
    <row r="21" spans="1:7" s="6" customFormat="1" ht="15">
      <c r="A21" s="6" t="s">
        <v>333</v>
      </c>
      <c r="B21" s="8"/>
      <c r="D21" s="11"/>
      <c r="E21" s="7"/>
      <c r="F21" s="7"/>
      <c r="G21" s="7"/>
    </row>
    <row r="22" spans="1:7" ht="15">
      <c r="A22" t="s">
        <v>334</v>
      </c>
      <c r="B22" t="s">
        <v>335</v>
      </c>
      <c r="C22" t="s">
        <v>322</v>
      </c>
      <c r="D22" s="2" t="s">
        <v>25</v>
      </c>
      <c r="E22" s="3">
        <v>10.55</v>
      </c>
      <c r="F22" s="2" t="s">
        <v>25</v>
      </c>
      <c r="G22" s="3">
        <v>13.15</v>
      </c>
    </row>
    <row r="23" spans="1:7" s="6" customFormat="1" ht="15">
      <c r="A23" s="6" t="s">
        <v>336</v>
      </c>
      <c r="B23" s="8"/>
      <c r="D23" s="11"/>
      <c r="E23" s="7"/>
      <c r="F23" s="7"/>
      <c r="G23" s="7"/>
    </row>
    <row r="24" spans="1:7" ht="15">
      <c r="A24" t="s">
        <v>337</v>
      </c>
      <c r="B24" t="s">
        <v>338</v>
      </c>
      <c r="C24" t="s">
        <v>272</v>
      </c>
      <c r="D24" s="2" t="s">
        <v>25</v>
      </c>
      <c r="E24" s="3">
        <v>0</v>
      </c>
      <c r="F24" s="2" t="s">
        <v>25</v>
      </c>
      <c r="G24" s="3">
        <v>0</v>
      </c>
    </row>
    <row r="25" spans="1:7" ht="15">
      <c r="A25" t="s">
        <v>339</v>
      </c>
      <c r="B25" t="s">
        <v>340</v>
      </c>
      <c r="C25" t="s">
        <v>341</v>
      </c>
      <c r="D25" s="2" t="s">
        <v>25</v>
      </c>
      <c r="E25" s="3">
        <v>15</v>
      </c>
      <c r="F25" s="2" t="s">
        <v>25</v>
      </c>
      <c r="G25" s="3">
        <v>18.5</v>
      </c>
    </row>
    <row r="26" spans="1:7" ht="15">
      <c r="A26" t="s">
        <v>342</v>
      </c>
      <c r="B26" t="s">
        <v>340</v>
      </c>
      <c r="C26" t="s">
        <v>341</v>
      </c>
      <c r="D26" s="2" t="s">
        <v>25</v>
      </c>
      <c r="E26" s="3">
        <v>204</v>
      </c>
      <c r="F26" s="2" t="s">
        <v>25</v>
      </c>
      <c r="G26" s="3">
        <v>250</v>
      </c>
    </row>
    <row r="27" spans="1:7" ht="15">
      <c r="A27" t="s">
        <v>343</v>
      </c>
      <c r="B27" t="s">
        <v>340</v>
      </c>
      <c r="C27" t="s">
        <v>341</v>
      </c>
      <c r="D27" s="2" t="s">
        <v>25</v>
      </c>
      <c r="E27" s="3">
        <v>787</v>
      </c>
      <c r="F27" s="2" t="s">
        <v>25</v>
      </c>
      <c r="G27" s="3">
        <v>950</v>
      </c>
    </row>
    <row r="28" spans="1:7" s="6" customFormat="1" ht="15">
      <c r="A28" s="6" t="s">
        <v>344</v>
      </c>
      <c r="B28" s="8"/>
      <c r="D28" s="11"/>
      <c r="E28" s="7"/>
      <c r="F28" s="7"/>
      <c r="G28" s="7"/>
    </row>
    <row r="29" spans="1:7" ht="15">
      <c r="A29" t="s">
        <v>345</v>
      </c>
      <c r="B29" t="s">
        <v>346</v>
      </c>
      <c r="C29" t="s">
        <v>241</v>
      </c>
      <c r="D29" s="2" t="s">
        <v>25</v>
      </c>
      <c r="E29" s="3">
        <v>22</v>
      </c>
      <c r="F29" s="2" t="s">
        <v>25</v>
      </c>
      <c r="G29" s="3">
        <v>30</v>
      </c>
    </row>
    <row r="30" spans="1:7" ht="15">
      <c r="A30" t="s">
        <v>281</v>
      </c>
      <c r="B30" t="s">
        <v>347</v>
      </c>
      <c r="C30" t="s">
        <v>241</v>
      </c>
      <c r="D30" s="2" t="s">
        <v>25</v>
      </c>
      <c r="E30" s="3">
        <v>85</v>
      </c>
      <c r="F30" s="2" t="s">
        <v>25</v>
      </c>
      <c r="G30" s="3">
        <v>115</v>
      </c>
    </row>
    <row r="31" spans="1:7" ht="15">
      <c r="A31" t="s">
        <v>348</v>
      </c>
      <c r="B31" t="s">
        <v>349</v>
      </c>
      <c r="C31" t="s">
        <v>241</v>
      </c>
      <c r="D31" s="2" t="s">
        <v>25</v>
      </c>
      <c r="E31" s="3">
        <v>185</v>
      </c>
      <c r="F31" s="2" t="s">
        <v>25</v>
      </c>
      <c r="G31" s="3">
        <v>250</v>
      </c>
    </row>
    <row r="32" spans="1:7" ht="15">
      <c r="A32" t="s">
        <v>350</v>
      </c>
      <c r="B32" t="s">
        <v>351</v>
      </c>
      <c r="C32" t="s">
        <v>241</v>
      </c>
      <c r="D32" s="2" t="s">
        <v>25</v>
      </c>
      <c r="E32" s="3">
        <v>110</v>
      </c>
      <c r="F32" s="2" t="s">
        <v>25</v>
      </c>
      <c r="G32" s="3">
        <v>148</v>
      </c>
    </row>
    <row r="33" spans="1:7" ht="15">
      <c r="A33" t="s">
        <v>352</v>
      </c>
      <c r="B33" t="s">
        <v>353</v>
      </c>
      <c r="C33" t="s">
        <v>241</v>
      </c>
      <c r="D33" s="2" t="s">
        <v>25</v>
      </c>
      <c r="E33" s="3">
        <v>185</v>
      </c>
      <c r="F33" s="2" t="s">
        <v>25</v>
      </c>
      <c r="G33" s="3">
        <v>250</v>
      </c>
    </row>
    <row r="34" spans="1:7" s="6" customFormat="1" ht="15">
      <c r="A34" s="6" t="s">
        <v>354</v>
      </c>
      <c r="B34" s="8"/>
      <c r="D34" s="11"/>
      <c r="E34" s="7"/>
      <c r="F34" s="7"/>
      <c r="G34" s="7"/>
    </row>
    <row r="35" spans="1:7" ht="15">
      <c r="A35" t="s">
        <v>355</v>
      </c>
      <c r="B35"/>
      <c r="C35" t="s">
        <v>356</v>
      </c>
      <c r="D35" s="2" t="s">
        <v>357</v>
      </c>
      <c r="E35" s="3">
        <v>150</v>
      </c>
      <c r="F35" s="2" t="s">
        <v>357</v>
      </c>
      <c r="G35" s="3">
        <v>150</v>
      </c>
    </row>
    <row r="36" spans="1:7" ht="15">
      <c r="A36" t="s">
        <v>358</v>
      </c>
      <c r="C36" t="s">
        <v>356</v>
      </c>
      <c r="D36" s="2" t="s">
        <v>357</v>
      </c>
      <c r="E36" s="3">
        <v>150</v>
      </c>
      <c r="F36" s="2" t="s">
        <v>357</v>
      </c>
      <c r="G36" s="3">
        <v>150</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EB491-99FC-4476-8DD3-7DA9105F267B}">
  <dimension ref="A1:H25"/>
  <sheetViews>
    <sheetView zoomScale="85" zoomScaleNormal="85" workbookViewId="0" topLeftCell="A1"/>
  </sheetViews>
  <sheetFormatPr defaultColWidth="9.140625" defaultRowHeight="15"/>
  <cols>
    <col min="1" max="1" width="44.00390625" style="0" bestFit="1" customWidth="1"/>
    <col min="2" max="2" width="71.421875" style="9" bestFit="1" customWidth="1"/>
    <col min="3" max="3" width="20.28125" style="0" bestFit="1" customWidth="1"/>
    <col min="4" max="4" width="21.421875" style="13" bestFit="1" customWidth="1"/>
    <col min="5" max="6" width="18.421875" style="5" bestFit="1" customWidth="1"/>
    <col min="7" max="7" width="4.421875" style="0" bestFit="1" customWidth="1"/>
    <col min="8" max="8" width="18.140625" style="0" bestFit="1" customWidth="1"/>
  </cols>
  <sheetData>
    <row r="1" spans="1:8" s="16" customFormat="1" ht="29">
      <c r="A1" s="16" t="s">
        <v>219</v>
      </c>
      <c r="B1" s="16" t="s">
        <v>14</v>
      </c>
      <c r="C1" s="16" t="s">
        <v>220</v>
      </c>
      <c r="D1" s="17" t="s">
        <v>359</v>
      </c>
      <c r="E1" s="18" t="s">
        <v>360</v>
      </c>
      <c r="F1" s="18" t="s">
        <v>361</v>
      </c>
      <c r="G1" s="16" t="s">
        <v>224</v>
      </c>
      <c r="H1" s="16" t="s">
        <v>362</v>
      </c>
    </row>
    <row r="2" spans="1:6" s="6" customFormat="1" ht="15">
      <c r="A2" s="6" t="s">
        <v>363</v>
      </c>
      <c r="B2" s="8"/>
      <c r="D2" s="11"/>
      <c r="E2" s="7"/>
      <c r="F2" s="7"/>
    </row>
    <row r="3" spans="1:6" ht="15">
      <c r="A3" t="s">
        <v>364</v>
      </c>
      <c r="B3" t="s">
        <v>365</v>
      </c>
      <c r="C3" t="s">
        <v>366</v>
      </c>
      <c r="D3" s="2" t="s">
        <v>245</v>
      </c>
      <c r="E3" s="3">
        <f>F3*0.8</f>
        <v>11.056000000000001</v>
      </c>
      <c r="F3" s="3">
        <v>13.82</v>
      </c>
    </row>
    <row r="4" spans="1:6" ht="15">
      <c r="A4" t="s">
        <v>367</v>
      </c>
      <c r="B4" t="s">
        <v>368</v>
      </c>
      <c r="C4" t="s">
        <v>235</v>
      </c>
      <c r="D4" s="2" t="s">
        <v>245</v>
      </c>
      <c r="E4" s="3">
        <f aca="true" t="shared" si="0" ref="E4:E7">F4*0.8</f>
        <v>6.224</v>
      </c>
      <c r="F4" s="3">
        <v>7.78</v>
      </c>
    </row>
    <row r="5" spans="1:6" ht="15">
      <c r="A5" t="s">
        <v>369</v>
      </c>
      <c r="B5" t="s">
        <v>370</v>
      </c>
      <c r="C5" t="s">
        <v>235</v>
      </c>
      <c r="D5" s="2" t="s">
        <v>245</v>
      </c>
      <c r="E5" s="3">
        <f t="shared" si="0"/>
        <v>0.052000000000000005</v>
      </c>
      <c r="F5" s="127">
        <v>0.065</v>
      </c>
    </row>
    <row r="6" spans="1:6" ht="15">
      <c r="A6" t="s">
        <v>371</v>
      </c>
      <c r="B6" t="s">
        <v>372</v>
      </c>
      <c r="C6" t="s">
        <v>235</v>
      </c>
      <c r="D6" s="2" t="s">
        <v>245</v>
      </c>
      <c r="E6" s="3">
        <f t="shared" si="0"/>
        <v>0.00864</v>
      </c>
      <c r="F6" s="127">
        <v>0.0108</v>
      </c>
    </row>
    <row r="7" spans="1:6" ht="15">
      <c r="A7" t="s">
        <v>373</v>
      </c>
      <c r="B7" t="s">
        <v>374</v>
      </c>
      <c r="C7" t="s">
        <v>235</v>
      </c>
      <c r="D7" s="2" t="s">
        <v>245</v>
      </c>
      <c r="E7" s="3">
        <f t="shared" si="0"/>
        <v>0.01608</v>
      </c>
      <c r="F7" s="127">
        <f>0.0098+0.0103</f>
        <v>0.0201</v>
      </c>
    </row>
    <row r="8" spans="1:6" s="6" customFormat="1" ht="15">
      <c r="A8" s="6" t="s">
        <v>375</v>
      </c>
      <c r="B8" s="8"/>
      <c r="D8" s="11"/>
      <c r="E8" s="7"/>
      <c r="F8" s="7"/>
    </row>
    <row r="9" spans="1:8" ht="15">
      <c r="A9" t="s">
        <v>376</v>
      </c>
      <c r="B9" s="9" t="s">
        <v>377</v>
      </c>
      <c r="C9" t="s">
        <v>241</v>
      </c>
      <c r="D9" s="2" t="s">
        <v>229</v>
      </c>
      <c r="E9" s="2" t="s">
        <v>229</v>
      </c>
      <c r="F9" s="2" t="s">
        <v>229</v>
      </c>
      <c r="G9" s="4" t="s">
        <v>7</v>
      </c>
      <c r="H9" s="2" t="s">
        <v>229</v>
      </c>
    </row>
    <row r="10" spans="1:6" ht="15">
      <c r="A10" t="s">
        <v>378</v>
      </c>
      <c r="B10" t="s">
        <v>379</v>
      </c>
      <c r="C10" t="s">
        <v>241</v>
      </c>
      <c r="D10" s="2" t="s">
        <v>245</v>
      </c>
      <c r="E10" s="3">
        <f aca="true" t="shared" si="1" ref="E10">F10*0.8</f>
        <v>5.5200000000000005</v>
      </c>
      <c r="F10" s="3">
        <v>6.9</v>
      </c>
    </row>
    <row r="11" spans="1:6" s="6" customFormat="1" ht="15">
      <c r="A11" s="6" t="s">
        <v>380</v>
      </c>
      <c r="B11" s="8"/>
      <c r="D11" s="11"/>
      <c r="E11" s="7"/>
      <c r="F11" s="7"/>
    </row>
    <row r="12" spans="1:6" ht="15">
      <c r="A12" t="s">
        <v>381</v>
      </c>
      <c r="B12" t="s">
        <v>271</v>
      </c>
      <c r="C12" t="s">
        <v>272</v>
      </c>
      <c r="D12" s="2" t="s">
        <v>245</v>
      </c>
      <c r="E12" s="3">
        <v>0</v>
      </c>
      <c r="F12" s="3">
        <v>0</v>
      </c>
    </row>
    <row r="13" spans="1:6" ht="15">
      <c r="A13" t="s">
        <v>382</v>
      </c>
      <c r="B13" t="s">
        <v>274</v>
      </c>
      <c r="C13" t="s">
        <v>275</v>
      </c>
      <c r="D13" s="2" t="s">
        <v>245</v>
      </c>
      <c r="E13" s="3">
        <v>15</v>
      </c>
      <c r="F13" s="3">
        <v>18.5</v>
      </c>
    </row>
    <row r="14" spans="1:6" ht="15">
      <c r="A14" t="s">
        <v>383</v>
      </c>
      <c r="B14" t="s">
        <v>274</v>
      </c>
      <c r="C14" t="s">
        <v>275</v>
      </c>
      <c r="D14" s="2" t="s">
        <v>245</v>
      </c>
      <c r="E14" s="3">
        <v>204</v>
      </c>
      <c r="F14" s="3">
        <v>250</v>
      </c>
    </row>
    <row r="15" spans="1:6" ht="15">
      <c r="A15" t="s">
        <v>384</v>
      </c>
      <c r="B15" t="s">
        <v>274</v>
      </c>
      <c r="C15" t="s">
        <v>275</v>
      </c>
      <c r="D15" s="2" t="s">
        <v>245</v>
      </c>
      <c r="E15" s="3">
        <v>787</v>
      </c>
      <c r="F15" s="3">
        <v>950</v>
      </c>
    </row>
    <row r="16" spans="1:6" ht="15">
      <c r="A16" t="s">
        <v>267</v>
      </c>
      <c r="B16" t="s">
        <v>268</v>
      </c>
      <c r="C16" t="s">
        <v>57</v>
      </c>
      <c r="D16" s="2" t="s">
        <v>245</v>
      </c>
      <c r="E16" s="3">
        <v>10.55</v>
      </c>
      <c r="F16" s="3">
        <v>13.15</v>
      </c>
    </row>
    <row r="17" spans="1:6" s="6" customFormat="1" ht="15">
      <c r="A17" s="6" t="s">
        <v>246</v>
      </c>
      <c r="B17" s="8"/>
      <c r="D17" s="11"/>
      <c r="E17" s="7"/>
      <c r="F17" s="7"/>
    </row>
    <row r="18" spans="1:6" ht="15">
      <c r="A18" t="s">
        <v>254</v>
      </c>
      <c r="B18" t="s">
        <v>385</v>
      </c>
      <c r="C18" t="s">
        <v>386</v>
      </c>
      <c r="D18" s="2" t="s">
        <v>245</v>
      </c>
      <c r="E18" s="3">
        <v>5</v>
      </c>
      <c r="F18" s="3">
        <v>6.75</v>
      </c>
    </row>
    <row r="19" spans="1:6" ht="15">
      <c r="A19" t="s">
        <v>387</v>
      </c>
      <c r="B19" t="s">
        <v>388</v>
      </c>
      <c r="C19" t="s">
        <v>389</v>
      </c>
      <c r="D19" s="2" t="s">
        <v>245</v>
      </c>
      <c r="E19" s="3">
        <v>30.44</v>
      </c>
      <c r="F19" s="3">
        <v>33.59</v>
      </c>
    </row>
    <row r="20" spans="1:6" ht="15">
      <c r="A20" t="s">
        <v>390</v>
      </c>
      <c r="B20" t="s">
        <v>391</v>
      </c>
      <c r="C20" t="s">
        <v>389</v>
      </c>
      <c r="D20" s="2" t="s">
        <v>245</v>
      </c>
      <c r="E20" s="3">
        <v>60.46</v>
      </c>
      <c r="F20" s="3">
        <v>66.64</v>
      </c>
    </row>
    <row r="21" spans="1:6" ht="15">
      <c r="A21" t="s">
        <v>392</v>
      </c>
      <c r="B21" t="s">
        <v>393</v>
      </c>
      <c r="C21" t="s">
        <v>389</v>
      </c>
      <c r="D21" s="2" t="s">
        <v>245</v>
      </c>
      <c r="E21" s="3">
        <v>120.92</v>
      </c>
      <c r="F21" s="3">
        <v>133.27</v>
      </c>
    </row>
    <row r="22" spans="1:6" ht="15">
      <c r="A22" t="s">
        <v>394</v>
      </c>
      <c r="B22" t="s">
        <v>395</v>
      </c>
      <c r="C22" t="s">
        <v>389</v>
      </c>
      <c r="D22" s="2" t="s">
        <v>245</v>
      </c>
      <c r="E22" s="3">
        <v>120.83</v>
      </c>
      <c r="F22" s="3">
        <v>133.15</v>
      </c>
    </row>
    <row r="23" spans="1:6" ht="15">
      <c r="A23" t="s">
        <v>396</v>
      </c>
      <c r="B23" t="s">
        <v>397</v>
      </c>
      <c r="C23" t="s">
        <v>389</v>
      </c>
      <c r="D23" s="2" t="s">
        <v>245</v>
      </c>
      <c r="E23" s="3">
        <v>241.66</v>
      </c>
      <c r="F23" s="3">
        <v>266.29</v>
      </c>
    </row>
    <row r="24" spans="1:6" ht="15">
      <c r="A24" t="s">
        <v>398</v>
      </c>
      <c r="B24" t="s">
        <v>399</v>
      </c>
      <c r="C24" t="s">
        <v>389</v>
      </c>
      <c r="D24" s="2" t="s">
        <v>245</v>
      </c>
      <c r="E24" s="3">
        <v>237.56</v>
      </c>
      <c r="F24" s="3">
        <v>261.77</v>
      </c>
    </row>
    <row r="25" spans="1:6" ht="15">
      <c r="A25" t="s">
        <v>400</v>
      </c>
      <c r="B25" t="s">
        <v>401</v>
      </c>
      <c r="C25" t="s">
        <v>389</v>
      </c>
      <c r="D25" s="2" t="s">
        <v>245</v>
      </c>
      <c r="E25" s="3">
        <v>475.13</v>
      </c>
      <c r="F25" s="3">
        <v>523.54</v>
      </c>
    </row>
  </sheetData>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281E564BB8AF54BAB95245DF67C0BE7" ma:contentTypeVersion="2" ma:contentTypeDescription="Crée un document." ma:contentTypeScope="" ma:versionID="90e4745bd0a80f5035b65e2490a6b31f">
  <xsd:schema xmlns:xsd="http://www.w3.org/2001/XMLSchema" xmlns:xs="http://www.w3.org/2001/XMLSchema" xmlns:p="http://schemas.microsoft.com/office/2006/metadata/properties" xmlns:ns2="258d2bd6-923f-449b-8c23-03ceea49edb5" targetNamespace="http://schemas.microsoft.com/office/2006/metadata/properties" ma:root="true" ma:fieldsID="36b391ad87c5090fbf93c997ca2cbb44" ns2:_="">
    <xsd:import namespace="258d2bd6-923f-449b-8c23-03ceea49edb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8d2bd6-923f-449b-8c23-03ceea49ed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4A54A1-6DEE-4249-82A9-9594ECDB7E05}">
  <ds:schemaRefs>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258d2bd6-923f-449b-8c23-03ceea49edb5"/>
    <ds:schemaRef ds:uri="http://purl.org/dc/term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6390CEDE-B113-45F7-B277-5F259B004D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8d2bd6-923f-449b-8c23-03ceea49ed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57BE95B-5A14-4689-A6CC-6D9BF4916E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Poulin</dc:creator>
  <cp:keywords/>
  <dc:description/>
  <cp:lastModifiedBy>Sebastien Gagnon</cp:lastModifiedBy>
  <dcterms:created xsi:type="dcterms:W3CDTF">2015-06-05T18:17:20Z</dcterms:created>
  <dcterms:modified xsi:type="dcterms:W3CDTF">2023-01-12T21:23:01Z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0x010100E281E564BB8AF54BAB95245DF67C0BE7</vt:lpwstr>
  </property>
</Properties>
</file>